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030"/>
  </bookViews>
  <sheets>
    <sheet name=" 附件" sheetId="2" r:id="rId1"/>
    <sheet name="教育免学费" sheetId="3" r:id="rId2"/>
    <sheet name="教育助学金" sheetId="4" r:id="rId3"/>
    <sheet name="人社" sheetId="5" r:id="rId4"/>
    <sheet name="人社免学费" sheetId="6" r:id="rId5"/>
    <sheet name="人社助学金" sheetId="7" r:id="rId6"/>
  </sheets>
  <definedNames>
    <definedName name="_xlnm.Print_Titles" localSheetId="0">' 附件'!$4:$6</definedName>
    <definedName name="_xlnm.Print_Titles" localSheetId="1">教育免学费!$3:$4</definedName>
    <definedName name="_xlnm.Print_Titles" localSheetId="2">教育助学金!$3:$4</definedName>
  </definedNames>
  <calcPr calcId="144525"/>
</workbook>
</file>

<file path=xl/sharedStrings.xml><?xml version="1.0" encoding="utf-8"?>
<sst xmlns="http://schemas.openxmlformats.org/spreadsheetml/2006/main" count="658" uniqueCount="238">
  <si>
    <t>附件</t>
  </si>
  <si>
    <t>提前下达2026年市、县（区）中等职业学校全日制
学生资助资金安排表</t>
  </si>
  <si>
    <t>单位:万元</t>
  </si>
  <si>
    <t>市、县（区）</t>
  </si>
  <si>
    <t>合计</t>
  </si>
  <si>
    <t>免学费资金</t>
  </si>
  <si>
    <t>助学金资金</t>
  </si>
  <si>
    <t>小计</t>
  </si>
  <si>
    <t>教育部门</t>
  </si>
  <si>
    <t>人社部门</t>
  </si>
  <si>
    <t>01</t>
  </si>
  <si>
    <t>02</t>
  </si>
  <si>
    <t>03</t>
  </si>
  <si>
    <t>04</t>
  </si>
  <si>
    <t>05</t>
  </si>
  <si>
    <t>06</t>
  </si>
  <si>
    <t>07</t>
  </si>
  <si>
    <t>08</t>
  </si>
  <si>
    <t>总计</t>
  </si>
  <si>
    <t>福州市小计</t>
  </si>
  <si>
    <t>福州市本级</t>
  </si>
  <si>
    <t>台江区</t>
  </si>
  <si>
    <t>仓山区</t>
  </si>
  <si>
    <t>马尾区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</si>
  <si>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</si>
  <si>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</si>
  <si>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</si>
  <si>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</si>
  <si>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</si>
  <si>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</si>
  <si>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</si>
  <si>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莆田市小计</t>
  </si>
  <si>
    <t>莆田市本级</t>
  </si>
  <si>
    <t>城厢区</t>
  </si>
  <si>
    <t>涵江区</t>
  </si>
  <si>
    <t>荔城区</t>
  </si>
  <si>
    <t>秀屿区</t>
  </si>
  <si>
    <t>仙游县</t>
  </si>
  <si>
    <t>三明市小计</t>
  </si>
  <si>
    <t>三明市本级</t>
  </si>
  <si>
    <t>明溪县</t>
  </si>
  <si>
    <t>清流县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</si>
  <si>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</si>
  <si>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</si>
  <si>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</si>
  <si>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</si>
  <si>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</si>
  <si>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</si>
  <si>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</si>
  <si>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</si>
  <si>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泉州市本级</t>
  </si>
  <si>
    <t>鲤城区</t>
  </si>
  <si>
    <t>丰泽区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</si>
  <si>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</si>
  <si>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</si>
  <si>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</si>
  <si>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</si>
  <si>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</si>
  <si>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</si>
  <si>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</si>
  <si>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</si>
  <si>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泉州市台商投资区</t>
  </si>
  <si>
    <t>漳州市小计</t>
  </si>
  <si>
    <t>漳州市本级</t>
  </si>
  <si>
    <t>芗城区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</si>
  <si>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</si>
  <si>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</si>
  <si>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</si>
  <si>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</si>
  <si>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</si>
  <si>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</si>
  <si>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</si>
  <si>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</si>
  <si>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龙海区</t>
  </si>
  <si>
    <t>漳州高新区</t>
  </si>
  <si>
    <t>漳州市台商投资区</t>
  </si>
  <si>
    <t>南平市小计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</si>
  <si>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</si>
  <si>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</si>
  <si>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</si>
  <si>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</si>
  <si>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</si>
  <si>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</si>
  <si>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</si>
  <si>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</si>
  <si>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</si>
  <si>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</si>
  <si>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龙岩市小计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</si>
  <si>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</si>
  <si>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</si>
  <si>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</si>
  <si>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</si>
  <si>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</si>
  <si>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</si>
  <si>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</si>
  <si>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</si>
  <si>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宁德市小计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</si>
  <si>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</si>
  <si>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</si>
  <si>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</si>
  <si>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</si>
  <si>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</si>
  <si>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</si>
  <si>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</si>
  <si>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</si>
  <si>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</si>
  <si>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</si>
  <si>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</si>
  <si>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r>
      <rPr>
        <sz val="18"/>
        <color theme="1"/>
        <rFont val="方正小标宋简体"/>
        <charset val="134"/>
      </rPr>
      <t>中职免学费测算</t>
    </r>
    <r>
      <rPr>
        <sz val="11"/>
        <color theme="1"/>
        <rFont val="方正小标宋简体"/>
        <charset val="134"/>
      </rPr>
      <t>（比例0.803=30667/38167）</t>
    </r>
  </si>
  <si>
    <t xml:space="preserve">                                                                                        金额单位：万元</t>
  </si>
  <si>
    <t>2025年预算</t>
  </si>
  <si>
    <t>2024年秋季分专业统计受助学生人数</t>
  </si>
  <si>
    <t>2026年测算</t>
  </si>
  <si>
    <t>分担比例</t>
  </si>
  <si>
    <t>提前下达2026年</t>
  </si>
  <si>
    <t>人数合计</t>
  </si>
  <si>
    <t>一般专业</t>
  </si>
  <si>
    <t>涉农专业</t>
  </si>
  <si>
    <t>医学专业</t>
  </si>
  <si>
    <t>艺术专业</t>
  </si>
  <si>
    <t>省级</t>
  </si>
  <si>
    <t>市县</t>
  </si>
  <si>
    <t>福州高新技术产业开发区</t>
  </si>
  <si>
    <t>中职国家助学金测算（比例0.8=3408/4311）</t>
  </si>
  <si>
    <t>2025春人数</t>
  </si>
  <si>
    <t>本次下达</t>
  </si>
  <si>
    <t>一档</t>
  </si>
  <si>
    <t>二档</t>
  </si>
  <si>
    <t>2026年市、县（区）中等职业学校全日制学生资助资金安排表
（人社部门）</t>
  </si>
  <si>
    <t>单位：人、万元</t>
  </si>
  <si>
    <t>本次下达资金合计</t>
  </si>
  <si>
    <t>其    中</t>
  </si>
  <si>
    <t>国家助学金</t>
  </si>
  <si>
    <t>免学费补助金</t>
  </si>
  <si>
    <t>鼓楼区</t>
  </si>
  <si>
    <t>晋安区</t>
  </si>
  <si>
    <t>湄洲岛国家旅游度假区管委会</t>
  </si>
  <si>
    <t>北岸经济开发区管委会</t>
  </si>
  <si>
    <t>三元区</t>
  </si>
  <si>
    <t>宁化县</t>
  </si>
  <si>
    <t>泉州市本级小计</t>
  </si>
  <si>
    <t>洛江区</t>
  </si>
  <si>
    <t>龙文区</t>
  </si>
  <si>
    <t>古雷开发区</t>
  </si>
  <si>
    <t>高新区</t>
  </si>
  <si>
    <t>常山开发区</t>
  </si>
  <si>
    <t>漳州开发区</t>
  </si>
  <si>
    <t>台商投资区</t>
  </si>
  <si>
    <t>建阳区</t>
  </si>
  <si>
    <t>东侨经济技术开发区</t>
  </si>
  <si>
    <t>2026年度技工院校免学费测算表</t>
  </si>
  <si>
    <t>填报单位（加盖公章）：                                                                                                                                                                                           填表日期：2025 年 11月13日                                                                                          单位：人、人月、万元</t>
  </si>
  <si>
    <t>设
区
市</t>
  </si>
  <si>
    <t>序号</t>
  </si>
  <si>
    <t>学校名称</t>
  </si>
  <si>
    <t>隶属市县区</t>
  </si>
  <si>
    <t>免学费人数</t>
  </si>
  <si>
    <t>省级分担比例</t>
  </si>
  <si>
    <t>免学费资金分担情况</t>
  </si>
  <si>
    <r>
      <rPr>
        <sz val="10"/>
        <rFont val="宋体"/>
        <charset val="134"/>
      </rPr>
      <t>截止到2</t>
    </r>
    <r>
      <rPr>
        <sz val="10"/>
        <rFont val="宋体"/>
        <charset val="134"/>
      </rPr>
      <t>025年春季学期累计结余</t>
    </r>
  </si>
  <si>
    <t>应申请的金额</t>
  </si>
  <si>
    <r>
      <rPr>
        <sz val="11"/>
        <rFont val="宋体"/>
        <charset val="134"/>
      </rPr>
      <t xml:space="preserve">本次申请下达省级及以上资金
</t>
    </r>
    <r>
      <rPr>
        <sz val="9"/>
        <rFont val="宋体"/>
        <charset val="134"/>
      </rPr>
      <t>（取整，为负改0）</t>
    </r>
  </si>
  <si>
    <t>备注</t>
  </si>
  <si>
    <t>数控等高级工专业</t>
  </si>
  <si>
    <t>其他一般专业</t>
  </si>
  <si>
    <t>市县区</t>
  </si>
  <si>
    <t>04=01+02+03</t>
  </si>
  <si>
    <t>05=01*0.24</t>
  </si>
  <si>
    <t>06=02*0.32</t>
  </si>
  <si>
    <t>07=03*0.21</t>
  </si>
  <si>
    <t>08=05+06+07</t>
  </si>
  <si>
    <t>09</t>
  </si>
  <si>
    <t>10=08*09*0.1</t>
  </si>
  <si>
    <t>11=08-10</t>
  </si>
  <si>
    <t>13=10-12</t>
  </si>
  <si>
    <t>福州市</t>
  </si>
  <si>
    <t>福州第一技师学院</t>
  </si>
  <si>
    <t>市本级</t>
  </si>
  <si>
    <t>福州第二技师学院</t>
  </si>
  <si>
    <t>福建中华技师学院</t>
  </si>
  <si>
    <t>福建省三江技师学院</t>
  </si>
  <si>
    <t>福建省新华技术学校</t>
  </si>
  <si>
    <t>福建省闽江职业技术学校</t>
  </si>
  <si>
    <t>福建财茂工业技术学校</t>
  </si>
  <si>
    <t>福州市旅游技术学校</t>
  </si>
  <si>
    <t>福建省新东方技工学校</t>
  </si>
  <si>
    <t>福建省东南技术学校</t>
  </si>
  <si>
    <t>福州市福外技术学校</t>
  </si>
  <si>
    <t>莆田</t>
  </si>
  <si>
    <t>福建省莆田市高级技工学校</t>
  </si>
  <si>
    <t>莆田市理工技术学校</t>
  </si>
  <si>
    <t>三明市</t>
  </si>
  <si>
    <t>三明市高级技工学校</t>
  </si>
  <si>
    <t>三明技师学院</t>
  </si>
  <si>
    <t>福建三明中艺技术学校</t>
  </si>
  <si>
    <t>福建省机电技术学校</t>
  </si>
  <si>
    <t>泉州市</t>
  </si>
  <si>
    <t>泉州技师学院</t>
  </si>
  <si>
    <t>泉州城市工程技术学校</t>
  </si>
  <si>
    <t>泉州市海丝商贸职业技术学校</t>
  </si>
  <si>
    <t>泉州市南方科技职业技术学校</t>
  </si>
  <si>
    <t>泉州市国励工贸技术学校</t>
  </si>
  <si>
    <t>市本级小计</t>
  </si>
  <si>
    <t>泉州市惠安技术学校</t>
  </si>
  <si>
    <t>泉州市云扬航空职业技术学校</t>
  </si>
  <si>
    <t>惠安县小计</t>
  </si>
  <si>
    <t>漳州市</t>
  </si>
  <si>
    <t>漳州技师学院</t>
  </si>
  <si>
    <t>福建华夏高级技工学院</t>
  </si>
  <si>
    <t>漳州市平和技工学校</t>
  </si>
  <si>
    <t>南平市</t>
  </si>
  <si>
    <t>福建省南平技师学院</t>
  </si>
  <si>
    <t>福建省南平市闽北高级技工学校</t>
  </si>
  <si>
    <t>建瓯市技工学校</t>
  </si>
  <si>
    <t>建瓯市建州技术学校</t>
  </si>
  <si>
    <t>建瓯市小计</t>
  </si>
  <si>
    <t>龙岩市</t>
  </si>
  <si>
    <t>龙岩技师学院</t>
  </si>
  <si>
    <t>市直</t>
  </si>
  <si>
    <t>龙岩市人才职业技术学校</t>
  </si>
  <si>
    <t>龙岩市龙辉职业技术学校</t>
  </si>
  <si>
    <t>龙岩市龙翔职业技术学校</t>
  </si>
  <si>
    <t>龙岩市交通职业技术学校</t>
  </si>
  <si>
    <t>宁德市</t>
  </si>
  <si>
    <t>宁德技师学院</t>
  </si>
  <si>
    <t>福建省宁德市交通技术学校</t>
  </si>
  <si>
    <t>宁德市古田中等技术学校</t>
  </si>
  <si>
    <t>2026年度市属技工院校助学金测算表</t>
  </si>
  <si>
    <t>一、二、三年级学籍总数</t>
  </si>
  <si>
    <r>
      <rPr>
        <sz val="10"/>
        <rFont val="宋体"/>
        <charset val="134"/>
      </rPr>
      <t xml:space="preserve">所需助学金金额
</t>
    </r>
    <r>
      <rPr>
        <sz val="6"/>
        <rFont val="宋体"/>
        <charset val="134"/>
      </rPr>
      <t>（学籍总数</t>
    </r>
    <r>
      <rPr>
        <sz val="6"/>
        <rFont val="Arial"/>
        <charset val="0"/>
      </rPr>
      <t>×</t>
    </r>
    <r>
      <rPr>
        <sz val="6"/>
        <rFont val="宋体"/>
        <charset val="134"/>
      </rPr>
      <t>10%</t>
    </r>
    <r>
      <rPr>
        <sz val="6"/>
        <rFont val="Arial"/>
        <charset val="0"/>
      </rPr>
      <t>×</t>
    </r>
    <r>
      <rPr>
        <sz val="6"/>
        <rFont val="宋体"/>
        <charset val="134"/>
      </rPr>
      <t>平均资助标准0.23万元/人）</t>
    </r>
  </si>
  <si>
    <t>省财政新分担比例</t>
  </si>
  <si>
    <t>省财政应分担金额</t>
  </si>
  <si>
    <t>市财政应分担金额</t>
  </si>
  <si>
    <t>省财政资金前期累计结余金额</t>
  </si>
  <si>
    <r>
      <rPr>
        <sz val="10"/>
        <rFont val="宋体"/>
        <charset val="134"/>
      </rPr>
      <t>本次应下达省财政金额</t>
    </r>
    <r>
      <rPr>
        <sz val="6"/>
        <rFont val="宋体"/>
        <charset val="134"/>
      </rPr>
      <t>（应分担-前期累计结余）</t>
    </r>
  </si>
  <si>
    <r>
      <rPr>
        <sz val="10"/>
        <rFont val="宋体"/>
        <charset val="134"/>
      </rPr>
      <t>本次实际取整</t>
    </r>
    <r>
      <rPr>
        <sz val="6"/>
        <rFont val="宋体"/>
        <charset val="134"/>
      </rPr>
      <t>（四舍五入）</t>
    </r>
    <r>
      <rPr>
        <sz val="10"/>
        <rFont val="宋体"/>
        <charset val="134"/>
      </rPr>
      <t>下达省级财政金额</t>
    </r>
  </si>
  <si>
    <t>建瓯结余结转后续使用，本次下达资金用于南平市本级。</t>
  </si>
  <si>
    <t>结转后续使用</t>
  </si>
</sst>
</file>

<file path=xl/styles.xml><?xml version="1.0" encoding="utf-8"?>
<styleSheet xmlns="http://schemas.openxmlformats.org/spreadsheetml/2006/main">
  <numFmts count="9">
    <numFmt numFmtId="176" formatCode="0_ "/>
    <numFmt numFmtId="177" formatCode="0.00_ "/>
    <numFmt numFmtId="178" formatCode="0_);[Red]\(0\)"/>
    <numFmt numFmtId="43" formatCode="_ * #,##0.00_ ;_ * \-#,##0.00_ ;_ * &quot;-&quot;??_ ;_ @_ "/>
    <numFmt numFmtId="179" formatCode="0.00_);[Red]\(0.00\)"/>
    <numFmt numFmtId="42" formatCode="_ &quot;￥&quot;* #,##0_ ;_ &quot;￥&quot;* \-#,##0_ ;_ &quot;￥&quot;* &quot;-&quot;_ ;_ @_ "/>
    <numFmt numFmtId="180" formatCode="0.0000_ "/>
    <numFmt numFmtId="44" formatCode="_ &quot;￥&quot;* #,##0.00_ ;_ &quot;￥&quot;* \-#,##0.00_ ;_ &quot;￥&quot;* &quot;-&quot;??_ ;_ @_ "/>
    <numFmt numFmtId="41" formatCode="_ * #,##0_ ;_ * \-#,##0_ ;_ * &quot;-&quot;_ ;_ @_ "/>
  </numFmts>
  <fonts count="6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name val="仿宋"/>
      <charset val="134"/>
    </font>
    <font>
      <b/>
      <sz val="11"/>
      <name val="仿宋"/>
      <charset val="134"/>
    </font>
    <font>
      <sz val="8"/>
      <name val="宋体"/>
      <charset val="134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6"/>
      <name val="宋体"/>
      <charset val="134"/>
    </font>
    <font>
      <sz val="12"/>
      <name val="宋体"/>
      <charset val="134"/>
      <scheme val="major"/>
    </font>
    <font>
      <sz val="11"/>
      <name val="国标仿宋"/>
      <charset val="134"/>
    </font>
    <font>
      <b/>
      <sz val="11"/>
      <name val="国标仿宋"/>
      <charset val="134"/>
    </font>
    <font>
      <sz val="11"/>
      <color rgb="FFFF0000"/>
      <name val="国标仿宋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b/>
      <sz val="12"/>
      <color rgb="FFFF0000"/>
      <name val="宋体"/>
      <charset val="134"/>
    </font>
    <font>
      <sz val="9"/>
      <name val="宋体"/>
      <charset val="134"/>
      <scheme val="major"/>
    </font>
    <font>
      <sz val="11"/>
      <name val="宋体"/>
      <charset val="134"/>
      <scheme val="maj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仿宋"/>
      <charset val="134"/>
    </font>
    <font>
      <sz val="14"/>
      <name val="仿宋"/>
      <charset val="134"/>
    </font>
    <font>
      <sz val="10"/>
      <name val="仿宋"/>
      <charset val="134"/>
    </font>
    <font>
      <b/>
      <sz val="12"/>
      <name val="仿宋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6"/>
      <name val="Arial"/>
      <charset val="0"/>
    </font>
    <font>
      <sz val="11"/>
      <color theme="1"/>
      <name val="方正小标宋简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" fillId="0" borderId="0"/>
    <xf numFmtId="0" fontId="41" fillId="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4" fillId="0" borderId="31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1" borderId="0" applyNumberFormat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55" fillId="34" borderId="32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57" fillId="39" borderId="32" applyNumberFormat="0" applyAlignment="0" applyProtection="0">
      <alignment vertical="center"/>
    </xf>
    <xf numFmtId="0" fontId="56" fillId="34" borderId="33" applyNumberFormat="0" applyAlignment="0" applyProtection="0">
      <alignment vertical="center"/>
    </xf>
    <xf numFmtId="0" fontId="58" fillId="40" borderId="34" applyNumberFormat="0" applyAlignment="0" applyProtection="0">
      <alignment vertical="center"/>
    </xf>
    <xf numFmtId="0" fontId="59" fillId="0" borderId="35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0" fillId="21" borderId="28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" fillId="0" borderId="0"/>
    <xf numFmtId="0" fontId="42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/>
    <xf numFmtId="177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vertical="center"/>
    </xf>
    <xf numFmtId="0" fontId="5" fillId="3" borderId="9" xfId="0" applyFont="1" applyFill="1" applyBorder="1" applyAlignment="1"/>
    <xf numFmtId="0" fontId="6" fillId="3" borderId="9" xfId="0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vertical="center"/>
    </xf>
    <xf numFmtId="0" fontId="5" fillId="0" borderId="9" xfId="0" applyFont="1" applyFill="1" applyBorder="1" applyAlignment="1"/>
    <xf numFmtId="0" fontId="1" fillId="0" borderId="9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 applyProtection="1">
      <alignment vertical="center"/>
    </xf>
    <xf numFmtId="0" fontId="10" fillId="3" borderId="9" xfId="0" applyFont="1" applyFill="1" applyBorder="1" applyAlignment="1"/>
    <xf numFmtId="0" fontId="7" fillId="3" borderId="1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/>
    <xf numFmtId="0" fontId="12" fillId="0" borderId="9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/>
    <xf numFmtId="0" fontId="4" fillId="0" borderId="15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80" fontId="1" fillId="0" borderId="15" xfId="0" applyNumberFormat="1" applyFont="1" applyFill="1" applyBorder="1" applyAlignment="1" applyProtection="1">
      <alignment vertical="center"/>
    </xf>
    <xf numFmtId="0" fontId="1" fillId="0" borderId="15" xfId="0" applyFont="1" applyFill="1" applyBorder="1" applyAlignment="1" applyProtection="1">
      <alignment vertical="center"/>
    </xf>
    <xf numFmtId="180" fontId="1" fillId="0" borderId="15" xfId="0" applyNumberFormat="1" applyFont="1" applyFill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vertical="center"/>
    </xf>
    <xf numFmtId="180" fontId="1" fillId="3" borderId="9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176" fontId="1" fillId="0" borderId="15" xfId="0" applyNumberFormat="1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vertical="center"/>
    </xf>
    <xf numFmtId="176" fontId="1" fillId="3" borderId="9" xfId="0" applyNumberFormat="1" applyFont="1" applyFill="1" applyBorder="1" applyAlignment="1" applyProtection="1">
      <alignment horizontal="center" vertical="center"/>
    </xf>
    <xf numFmtId="176" fontId="1" fillId="0" borderId="9" xfId="0" applyNumberFormat="1" applyFont="1" applyFill="1" applyBorder="1" applyAlignment="1" applyProtection="1">
      <alignment horizontal="center" vertical="center" wrapText="1"/>
    </xf>
    <xf numFmtId="176" fontId="1" fillId="3" borderId="9" xfId="0" applyNumberFormat="1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vertical="center" wrapText="1"/>
    </xf>
    <xf numFmtId="176" fontId="1" fillId="4" borderId="9" xfId="0" applyNumberFormat="1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7" fillId="5" borderId="1" xfId="48" applyFont="1" applyFill="1" applyBorder="1" applyAlignment="1">
      <alignment horizontal="center" vertical="center" wrapText="1"/>
    </xf>
    <xf numFmtId="0" fontId="17" fillId="5" borderId="4" xfId="48" applyFont="1" applyFill="1" applyBorder="1" applyAlignment="1">
      <alignment horizontal="center" vertical="center" wrapText="1"/>
    </xf>
    <xf numFmtId="0" fontId="17" fillId="5" borderId="6" xfId="48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8" fillId="4" borderId="1" xfId="48" applyFont="1" applyFill="1" applyBorder="1" applyAlignment="1">
      <alignment horizontal="center" vertical="center"/>
    </xf>
    <xf numFmtId="0" fontId="18" fillId="4" borderId="9" xfId="48" applyFont="1" applyFill="1" applyBorder="1" applyAlignment="1">
      <alignment horizontal="center" vertical="center"/>
    </xf>
    <xf numFmtId="0" fontId="20" fillId="4" borderId="9" xfId="48" applyFont="1" applyFill="1" applyBorder="1" applyAlignment="1">
      <alignment horizontal="center" vertical="center"/>
    </xf>
    <xf numFmtId="0" fontId="18" fillId="4" borderId="4" xfId="48" applyFont="1" applyFill="1" applyBorder="1" applyAlignment="1">
      <alignment horizontal="center" vertical="center"/>
    </xf>
    <xf numFmtId="0" fontId="18" fillId="4" borderId="6" xfId="48" applyFont="1" applyFill="1" applyBorder="1" applyAlignment="1">
      <alignment horizontal="center" vertical="center"/>
    </xf>
    <xf numFmtId="0" fontId="19" fillId="4" borderId="13" xfId="48" applyFont="1" applyFill="1" applyBorder="1" applyAlignment="1">
      <alignment horizontal="center" vertical="center"/>
    </xf>
    <xf numFmtId="0" fontId="19" fillId="4" borderId="21" xfId="48" applyFont="1" applyFill="1" applyBorder="1" applyAlignment="1">
      <alignment horizontal="center" vertical="center"/>
    </xf>
    <xf numFmtId="0" fontId="19" fillId="4" borderId="22" xfId="48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9" fillId="4" borderId="9" xfId="48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8" fillId="4" borderId="1" xfId="48" applyFont="1" applyFill="1" applyBorder="1" applyAlignment="1" applyProtection="1">
      <alignment horizontal="center" vertical="center"/>
    </xf>
    <xf numFmtId="0" fontId="18" fillId="4" borderId="9" xfId="48" applyFont="1" applyFill="1" applyBorder="1" applyAlignment="1" applyProtection="1">
      <alignment horizontal="center" vertical="center"/>
    </xf>
    <xf numFmtId="0" fontId="18" fillId="4" borderId="9" xfId="48" applyFont="1" applyFill="1" applyBorder="1" applyAlignment="1" applyProtection="1">
      <alignment horizontal="center" vertical="center" wrapText="1"/>
    </xf>
    <xf numFmtId="0" fontId="18" fillId="4" borderId="4" xfId="48" applyFont="1" applyFill="1" applyBorder="1" applyAlignment="1" applyProtection="1">
      <alignment horizontal="center" vertical="center"/>
    </xf>
    <xf numFmtId="0" fontId="19" fillId="4" borderId="13" xfId="48" applyFont="1" applyFill="1" applyBorder="1" applyAlignment="1" applyProtection="1">
      <alignment horizontal="center" vertical="center"/>
    </xf>
    <xf numFmtId="0" fontId="19" fillId="4" borderId="21" xfId="48" applyFont="1" applyFill="1" applyBorder="1" applyAlignment="1" applyProtection="1">
      <alignment horizontal="center" vertical="center"/>
    </xf>
    <xf numFmtId="0" fontId="19" fillId="4" borderId="22" xfId="48" applyFont="1" applyFill="1" applyBorder="1" applyAlignment="1" applyProtection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vertical="center"/>
    </xf>
    <xf numFmtId="0" fontId="18" fillId="4" borderId="9" xfId="0" applyFont="1" applyFill="1" applyBorder="1" applyAlignment="1">
      <alignment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7" fillId="5" borderId="9" xfId="48" applyFont="1" applyFill="1" applyBorder="1" applyAlignment="1">
      <alignment horizontal="center" vertical="center" wrapText="1"/>
    </xf>
    <xf numFmtId="0" fontId="23" fillId="5" borderId="1" xfId="48" applyFont="1" applyFill="1" applyBorder="1" applyAlignment="1">
      <alignment horizontal="center" vertical="center" wrapText="1"/>
    </xf>
    <xf numFmtId="0" fontId="1" fillId="4" borderId="9" xfId="0" applyFont="1" applyFill="1" applyBorder="1" applyAlignment="1" applyProtection="1">
      <alignment vertical="center"/>
    </xf>
    <xf numFmtId="0" fontId="6" fillId="4" borderId="9" xfId="0" applyFont="1" applyFill="1" applyBorder="1" applyAlignment="1" applyProtection="1">
      <alignment vertical="center"/>
    </xf>
    <xf numFmtId="0" fontId="12" fillId="4" borderId="9" xfId="0" applyFont="1" applyFill="1" applyBorder="1" applyAlignment="1" applyProtection="1">
      <alignment vertical="center"/>
    </xf>
    <xf numFmtId="0" fontId="24" fillId="4" borderId="9" xfId="0" applyFont="1" applyFill="1" applyBorder="1" applyAlignment="1" applyProtection="1">
      <alignment vertical="center"/>
    </xf>
    <xf numFmtId="0" fontId="6" fillId="4" borderId="14" xfId="0" applyFont="1" applyFill="1" applyBorder="1" applyAlignment="1" applyProtection="1">
      <alignment vertical="center"/>
    </xf>
    <xf numFmtId="0" fontId="17" fillId="5" borderId="9" xfId="48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5" borderId="9" xfId="48" applyFont="1" applyFill="1" applyBorder="1" applyAlignment="1">
      <alignment horizontal="center" vertical="center" wrapText="1"/>
    </xf>
    <xf numFmtId="0" fontId="25" fillId="5" borderId="1" xfId="48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vertical="center"/>
    </xf>
    <xf numFmtId="0" fontId="2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76" fontId="6" fillId="4" borderId="9" xfId="0" applyNumberFormat="1" applyFont="1" applyFill="1" applyBorder="1" applyAlignment="1" applyProtection="1">
      <alignment horizontal="center" vertical="center" wrapText="1"/>
    </xf>
    <xf numFmtId="176" fontId="24" fillId="4" borderId="9" xfId="0" applyNumberFormat="1" applyFont="1" applyFill="1" applyBorder="1" applyAlignment="1" applyProtection="1">
      <alignment horizontal="center" vertical="center" wrapText="1"/>
    </xf>
    <xf numFmtId="176" fontId="1" fillId="6" borderId="9" xfId="0" applyNumberFormat="1" applyFont="1" applyFill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center" vertical="center"/>
    </xf>
    <xf numFmtId="178" fontId="2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0" fontId="28" fillId="4" borderId="9" xfId="0" applyFont="1" applyFill="1" applyBorder="1" applyAlignment="1">
      <alignment horizontal="center" vertical="center"/>
    </xf>
    <xf numFmtId="0" fontId="28" fillId="4" borderId="26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/>
    <xf numFmtId="0" fontId="29" fillId="7" borderId="9" xfId="0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/>
    </xf>
    <xf numFmtId="0" fontId="5" fillId="8" borderId="9" xfId="0" applyFont="1" applyFill="1" applyBorder="1" applyAlignment="1"/>
    <xf numFmtId="0" fontId="22" fillId="8" borderId="9" xfId="0" applyFont="1" applyFill="1" applyBorder="1" applyAlignment="1">
      <alignment horizontal="center" vertical="center"/>
    </xf>
    <xf numFmtId="0" fontId="5" fillId="9" borderId="9" xfId="0" applyFont="1" applyFill="1" applyBorder="1" applyAlignment="1"/>
    <xf numFmtId="0" fontId="22" fillId="9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/>
    <xf numFmtId="0" fontId="22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vertical="center"/>
    </xf>
    <xf numFmtId="0" fontId="11" fillId="9" borderId="1" xfId="0" applyFont="1" applyFill="1" applyBorder="1" applyAlignment="1">
      <alignment horizontal="left" vertical="center"/>
    </xf>
    <xf numFmtId="0" fontId="29" fillId="9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 applyProtection="1">
      <alignment vertical="center"/>
    </xf>
    <xf numFmtId="0" fontId="10" fillId="8" borderId="9" xfId="0" applyFont="1" applyFill="1" applyBorder="1" applyAlignment="1"/>
    <xf numFmtId="0" fontId="5" fillId="4" borderId="14" xfId="0" applyFont="1" applyFill="1" applyBorder="1" applyAlignment="1"/>
    <xf numFmtId="0" fontId="4" fillId="4" borderId="15" xfId="0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NumberFormat="1" applyFont="1" applyFill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13" fillId="0" borderId="9" xfId="1" applyNumberFormat="1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3" fillId="0" borderId="9" xfId="1" applyNumberFormat="1" applyFont="1" applyBorder="1" applyAlignment="1" applyProtection="1">
      <alignment horizontal="center" vertical="center" wrapText="1"/>
    </xf>
    <xf numFmtId="0" fontId="31" fillId="10" borderId="9" xfId="0" applyFont="1" applyFill="1" applyBorder="1" applyAlignment="1"/>
    <xf numFmtId="0" fontId="31" fillId="10" borderId="9" xfId="0" applyNumberFormat="1" applyFont="1" applyFill="1" applyBorder="1" applyAlignment="1">
      <alignment horizontal="center" vertical="center"/>
    </xf>
    <xf numFmtId="0" fontId="31" fillId="11" borderId="9" xfId="0" applyFont="1" applyFill="1" applyBorder="1" applyAlignment="1"/>
    <xf numFmtId="0" fontId="31" fillId="11" borderId="9" xfId="0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/>
    <xf numFmtId="0" fontId="31" fillId="0" borderId="9" xfId="0" applyNumberFormat="1" applyFont="1" applyFill="1" applyBorder="1" applyAlignment="1">
      <alignment horizontal="center" vertical="center"/>
    </xf>
    <xf numFmtId="0" fontId="31" fillId="11" borderId="9" xfId="0" applyFont="1" applyFill="1" applyBorder="1" applyAlignment="1">
      <alignment horizontal="center" vertical="center"/>
    </xf>
    <xf numFmtId="176" fontId="31" fillId="11" borderId="9" xfId="0" applyNumberFormat="1" applyFont="1" applyFill="1" applyBorder="1" applyAlignment="1">
      <alignment horizontal="center" vertical="center"/>
    </xf>
    <xf numFmtId="0" fontId="13" fillId="0" borderId="0" xfId="0" applyFont="1" applyFill="1" applyAlignment="1" applyProtection="1">
      <alignment horizontal="right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1" fillId="10" borderId="13" xfId="0" applyNumberFormat="1" applyFont="1" applyFill="1" applyBorder="1" applyAlignment="1">
      <alignment horizontal="center" vertical="center"/>
    </xf>
    <xf numFmtId="0" fontId="31" fillId="11" borderId="13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176" fontId="31" fillId="0" borderId="13" xfId="0" applyNumberFormat="1" applyFont="1" applyFill="1" applyBorder="1" applyAlignment="1">
      <alignment vertical="center" wrapText="1"/>
    </xf>
    <xf numFmtId="176" fontId="31" fillId="10" borderId="9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vertical="center"/>
    </xf>
    <xf numFmtId="176" fontId="31" fillId="0" borderId="9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178" fontId="13" fillId="0" borderId="9" xfId="1" applyNumberFormat="1" applyFont="1" applyFill="1" applyBorder="1" applyAlignment="1" applyProtection="1">
      <alignment horizontal="center" vertical="center" wrapText="1"/>
    </xf>
    <xf numFmtId="179" fontId="13" fillId="0" borderId="9" xfId="1" applyNumberFormat="1" applyFont="1" applyBorder="1" applyAlignment="1" applyProtection="1">
      <alignment horizontal="center" vertical="center" wrapText="1"/>
    </xf>
    <xf numFmtId="176" fontId="31" fillId="11" borderId="13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1" fillId="0" borderId="9" xfId="0" applyFont="1" applyFill="1" applyBorder="1" applyAlignment="1">
      <alignment horizontal="center"/>
    </xf>
    <xf numFmtId="0" fontId="31" fillId="0" borderId="13" xfId="0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/>
    </xf>
    <xf numFmtId="0" fontId="31" fillId="11" borderId="13" xfId="0" applyFont="1" applyFill="1" applyBorder="1" applyAlignment="1">
      <alignment horizontal="center"/>
    </xf>
    <xf numFmtId="0" fontId="33" fillId="0" borderId="0" xfId="0" applyFont="1" applyFill="1" applyBorder="1" applyAlignment="1">
      <alignment vertical="center"/>
    </xf>
    <xf numFmtId="0" fontId="34" fillId="0" borderId="0" xfId="0" applyNumberFormat="1" applyFont="1" applyFill="1" applyBorder="1" applyAlignment="1"/>
    <xf numFmtId="0" fontId="35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5" fillId="0" borderId="0" xfId="0" applyFont="1" applyFill="1" applyBorder="1" applyAlignment="1"/>
    <xf numFmtId="0" fontId="33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/>
    <xf numFmtId="0" fontId="38" fillId="0" borderId="0" xfId="0" applyNumberFormat="1" applyFont="1" applyFill="1" applyBorder="1" applyAlignment="1">
      <alignment horizontal="center" vertical="center" wrapText="1"/>
    </xf>
    <xf numFmtId="0" fontId="33" fillId="0" borderId="0" xfId="0" applyNumberFormat="1" applyFont="1" applyFill="1" applyBorder="1" applyAlignment="1">
      <alignment horizontal="right" vertical="center" wrapText="1"/>
    </xf>
    <xf numFmtId="0" fontId="33" fillId="0" borderId="0" xfId="0" applyNumberFormat="1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/>
    </xf>
    <xf numFmtId="0" fontId="40" fillId="0" borderId="9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 quotePrefix="1">
      <alignment horizontal="center" vertical="center" wrapText="1"/>
    </xf>
    <xf numFmtId="0" fontId="17" fillId="5" borderId="1" xfId="48" applyFont="1" applyFill="1" applyBorder="1" applyAlignment="1" quotePrefix="1">
      <alignment horizontal="center" vertical="center" wrapText="1"/>
    </xf>
  </cellXfs>
  <cellStyles count="52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Y104"/>
  <sheetViews>
    <sheetView tabSelected="1" workbookViewId="0">
      <pane xSplit="1" ySplit="5" topLeftCell="B83" activePane="bottomRight" state="frozen"/>
      <selection/>
      <selection pane="topRight"/>
      <selection pane="bottomLeft"/>
      <selection pane="bottomRight" activeCell="C7" sqref="C7 F7"/>
    </sheetView>
  </sheetViews>
  <sheetFormatPr defaultColWidth="11.25" defaultRowHeight="14.25"/>
  <cols>
    <col min="1" max="1" width="25.2" style="214" customWidth="1"/>
    <col min="2" max="2" width="8.35833333333333" style="215" customWidth="1"/>
    <col min="3" max="3" width="7.925" style="215" customWidth="1"/>
    <col min="4" max="4" width="10.5333333333333" style="215" customWidth="1"/>
    <col min="5" max="5" width="10.8166666666667" style="215" customWidth="1"/>
    <col min="6" max="6" width="7.49166666666667" style="215" customWidth="1"/>
    <col min="7" max="7" width="11.4416666666667" style="215" customWidth="1"/>
    <col min="8" max="8" width="10.8916666666667" style="215" customWidth="1"/>
    <col min="9" max="216" width="9.75" style="207" customWidth="1"/>
    <col min="217" max="217" width="14.25" style="207" customWidth="1"/>
    <col min="218" max="221" width="11.25" style="207"/>
    <col min="222" max="222" width="14.25" style="207" customWidth="1"/>
    <col min="223" max="228" width="9.875" style="207" customWidth="1"/>
    <col min="229" max="229" width="16.25" style="207" customWidth="1"/>
    <col min="230" max="244" width="9.75" style="207" customWidth="1"/>
    <col min="245" max="16384" width="11.25" style="207"/>
  </cols>
  <sheetData>
    <row r="1" s="207" customFormat="1" ht="18" spans="1:8">
      <c r="A1" s="216" t="s">
        <v>0</v>
      </c>
      <c r="B1" s="215"/>
      <c r="C1" s="215"/>
      <c r="D1" s="215"/>
      <c r="E1" s="215"/>
      <c r="F1" s="215"/>
      <c r="G1" s="215"/>
      <c r="H1" s="215"/>
    </row>
    <row r="2" s="208" customFormat="1" ht="51" customHeight="1" spans="1:8">
      <c r="A2" s="217" t="s">
        <v>1</v>
      </c>
      <c r="B2" s="217"/>
      <c r="C2" s="217"/>
      <c r="D2" s="217"/>
      <c r="E2" s="217"/>
      <c r="F2" s="217"/>
      <c r="G2" s="217"/>
      <c r="H2" s="217"/>
    </row>
    <row r="3" s="209" customFormat="1" ht="17.25" customHeight="1" spans="1:8">
      <c r="A3" s="218" t="s">
        <v>2</v>
      </c>
      <c r="B3" s="219"/>
      <c r="C3" s="219"/>
      <c r="D3" s="219"/>
      <c r="E3" s="219"/>
      <c r="F3" s="219"/>
      <c r="G3" s="219"/>
      <c r="H3" s="219"/>
    </row>
    <row r="4" s="210" customFormat="1" ht="15.75" spans="1:8">
      <c r="A4" s="220" t="s">
        <v>3</v>
      </c>
      <c r="B4" s="220" t="s">
        <v>4</v>
      </c>
      <c r="C4" s="220" t="s">
        <v>5</v>
      </c>
      <c r="D4" s="220"/>
      <c r="E4" s="220"/>
      <c r="F4" s="220" t="s">
        <v>6</v>
      </c>
      <c r="G4" s="220"/>
      <c r="H4" s="220"/>
    </row>
    <row r="5" s="210" customFormat="1" ht="15.75" spans="1:8">
      <c r="A5" s="220"/>
      <c r="B5" s="220"/>
      <c r="C5" s="220" t="s">
        <v>7</v>
      </c>
      <c r="D5" s="220" t="s">
        <v>8</v>
      </c>
      <c r="E5" s="220" t="s">
        <v>9</v>
      </c>
      <c r="F5" s="220" t="s">
        <v>7</v>
      </c>
      <c r="G5" s="220" t="s">
        <v>8</v>
      </c>
      <c r="H5" s="220" t="s">
        <v>9</v>
      </c>
    </row>
    <row r="6" s="211" customFormat="1" ht="15" customHeight="1" spans="1:8">
      <c r="A6" s="230" t="s">
        <v>10</v>
      </c>
      <c r="B6" s="230" t="s">
        <v>11</v>
      </c>
      <c r="C6" s="230" t="s">
        <v>12</v>
      </c>
      <c r="D6" s="230" t="s">
        <v>13</v>
      </c>
      <c r="E6" s="230" t="s">
        <v>14</v>
      </c>
      <c r="F6" s="230" t="s">
        <v>15</v>
      </c>
      <c r="G6" s="230" t="s">
        <v>16</v>
      </c>
      <c r="H6" s="230" t="s">
        <v>17</v>
      </c>
    </row>
    <row r="7" s="212" customFormat="1" ht="15" customHeight="1" spans="1:8">
      <c r="A7" s="222" t="s">
        <v>18</v>
      </c>
      <c r="B7" s="223">
        <f>B8+B20+B27+B38+B51+B65+B76+B85+B96</f>
        <v>41464</v>
      </c>
      <c r="C7" s="223">
        <f t="shared" ref="B7:H7" si="0">C8+C20+C27+C38+C51+C65+C76+C85+C96</f>
        <v>37564</v>
      </c>
      <c r="D7" s="223">
        <f t="shared" si="0"/>
        <v>30667</v>
      </c>
      <c r="E7" s="223">
        <f t="shared" si="0"/>
        <v>6897</v>
      </c>
      <c r="F7" s="223">
        <f t="shared" si="0"/>
        <v>3900</v>
      </c>
      <c r="G7" s="223">
        <f t="shared" si="0"/>
        <v>3408</v>
      </c>
      <c r="H7" s="223">
        <f t="shared" si="0"/>
        <v>492</v>
      </c>
    </row>
    <row r="8" s="212" customFormat="1" ht="15" customHeight="1" spans="1:8">
      <c r="A8" s="222" t="s">
        <v>19</v>
      </c>
      <c r="B8" s="223">
        <f t="shared" ref="B8:H8" si="1">SUM(B9:B19)</f>
        <v>6032</v>
      </c>
      <c r="C8" s="223">
        <f t="shared" si="1"/>
        <v>5646</v>
      </c>
      <c r="D8" s="223">
        <f t="shared" si="1"/>
        <v>4576</v>
      </c>
      <c r="E8" s="223">
        <f t="shared" si="1"/>
        <v>1070</v>
      </c>
      <c r="F8" s="223">
        <f t="shared" si="1"/>
        <v>386</v>
      </c>
      <c r="G8" s="223">
        <f t="shared" si="1"/>
        <v>321</v>
      </c>
      <c r="H8" s="223">
        <f t="shared" si="1"/>
        <v>65</v>
      </c>
    </row>
    <row r="9" s="207" customFormat="1" ht="15" customHeight="1" spans="1:8">
      <c r="A9" s="224" t="s">
        <v>20</v>
      </c>
      <c r="B9" s="225">
        <f>C9+F9</f>
        <v>2520</v>
      </c>
      <c r="C9" s="226">
        <f>D9+E9</f>
        <v>2391</v>
      </c>
      <c r="D9" s="225">
        <v>1321</v>
      </c>
      <c r="E9" s="226">
        <v>1070</v>
      </c>
      <c r="F9" s="226">
        <f>G9+H9</f>
        <v>129</v>
      </c>
      <c r="G9" s="225">
        <v>64</v>
      </c>
      <c r="H9" s="226">
        <v>65</v>
      </c>
    </row>
    <row r="10" s="207" customFormat="1" ht="15" customHeight="1" spans="1:8">
      <c r="A10" s="224" t="s">
        <v>21</v>
      </c>
      <c r="B10" s="225">
        <f t="shared" ref="B10:B41" si="2">C10+F10</f>
        <v>70</v>
      </c>
      <c r="C10" s="226">
        <f t="shared" ref="C10:C41" si="3">D10+E10</f>
        <v>67</v>
      </c>
      <c r="D10" s="225">
        <v>67</v>
      </c>
      <c r="E10" s="226"/>
      <c r="F10" s="226">
        <f t="shared" ref="F10:F41" si="4">G10+H10</f>
        <v>3</v>
      </c>
      <c r="G10" s="225">
        <v>3</v>
      </c>
      <c r="H10" s="226"/>
    </row>
    <row r="11" s="207" customFormat="1" ht="15" customHeight="1" spans="1:8">
      <c r="A11" s="224" t="s">
        <v>22</v>
      </c>
      <c r="B11" s="225">
        <f t="shared" si="2"/>
        <v>330</v>
      </c>
      <c r="C11" s="226">
        <f t="shared" si="3"/>
        <v>275</v>
      </c>
      <c r="D11" s="225">
        <v>275</v>
      </c>
      <c r="E11" s="226"/>
      <c r="F11" s="226">
        <f t="shared" si="4"/>
        <v>55</v>
      </c>
      <c r="G11" s="225">
        <v>55</v>
      </c>
      <c r="H11" s="226"/>
    </row>
    <row r="12" s="207" customFormat="1" ht="15" customHeight="1" spans="1:8">
      <c r="A12" s="224" t="s">
        <v>23</v>
      </c>
      <c r="B12" s="225">
        <f t="shared" si="2"/>
        <v>173</v>
      </c>
      <c r="C12" s="226">
        <f t="shared" si="3"/>
        <v>162</v>
      </c>
      <c r="D12" s="225">
        <v>162</v>
      </c>
      <c r="E12" s="226"/>
      <c r="F12" s="226">
        <f t="shared" si="4"/>
        <v>11</v>
      </c>
      <c r="G12" s="225">
        <v>11</v>
      </c>
      <c r="H12" s="226"/>
    </row>
    <row r="13" s="207" customFormat="1" ht="15" customHeight="1" spans="1:8">
      <c r="A13" s="224" t="s">
        <v>24</v>
      </c>
      <c r="B13" s="225">
        <f t="shared" si="2"/>
        <v>342</v>
      </c>
      <c r="C13" s="226">
        <f t="shared" si="3"/>
        <v>320</v>
      </c>
      <c r="D13" s="225">
        <f>213+107</f>
        <v>320</v>
      </c>
      <c r="E13" s="226"/>
      <c r="F13" s="226">
        <f t="shared" si="4"/>
        <v>22</v>
      </c>
      <c r="G13" s="226">
        <f>15+7</f>
        <v>22</v>
      </c>
      <c r="H13" s="226"/>
    </row>
    <row r="14" s="207" customFormat="1" ht="15" customHeight="1" spans="1:8">
      <c r="A14" s="224" t="s">
        <v>25</v>
      </c>
      <c r="B14" s="225">
        <f t="shared" si="2"/>
        <v>254</v>
      </c>
      <c r="C14" s="226">
        <f t="shared" si="3"/>
        <v>238</v>
      </c>
      <c r="D14" s="225">
        <v>238</v>
      </c>
      <c r="E14" s="226"/>
      <c r="F14" s="226">
        <f t="shared" si="4"/>
        <v>16</v>
      </c>
      <c r="G14" s="225">
        <v>16</v>
      </c>
      <c r="H14" s="226"/>
    </row>
    <row r="15" s="207" customFormat="1" ht="15" customHeight="1" spans="1:8">
      <c r="A15" s="224" t="s">
        <v>26</v>
      </c>
      <c r="B15" s="225">
        <f t="shared" si="2"/>
        <v>368</v>
      </c>
      <c r="C15" s="226">
        <f t="shared" si="3"/>
        <v>332</v>
      </c>
      <c r="D15" s="225">
        <v>332</v>
      </c>
      <c r="E15" s="226"/>
      <c r="F15" s="226">
        <f t="shared" si="4"/>
        <v>36</v>
      </c>
      <c r="G15" s="225">
        <v>36</v>
      </c>
      <c r="H15" s="226"/>
    </row>
    <row r="16" s="207" customFormat="1" ht="15" customHeight="1" spans="1:8">
      <c r="A16" s="224" t="s">
        <v>27</v>
      </c>
      <c r="B16" s="225">
        <f t="shared" si="2"/>
        <v>211</v>
      </c>
      <c r="C16" s="226">
        <f t="shared" si="3"/>
        <v>211</v>
      </c>
      <c r="D16" s="225">
        <v>211</v>
      </c>
      <c r="E16" s="226"/>
      <c r="F16" s="226">
        <f t="shared" si="4"/>
        <v>0</v>
      </c>
      <c r="G16" s="225">
        <v>0</v>
      </c>
      <c r="H16" s="226"/>
    </row>
    <row r="17" s="207" customFormat="1" ht="15" customHeight="1" spans="1:8">
      <c r="A17" s="224" t="s">
        <v>28</v>
      </c>
      <c r="B17" s="225">
        <f t="shared" si="2"/>
        <v>383</v>
      </c>
      <c r="C17" s="226">
        <f t="shared" si="3"/>
        <v>347</v>
      </c>
      <c r="D17" s="225">
        <v>347</v>
      </c>
      <c r="E17" s="226"/>
      <c r="F17" s="226">
        <f t="shared" si="4"/>
        <v>36</v>
      </c>
      <c r="G17" s="225">
        <v>36</v>
      </c>
      <c r="H17" s="226"/>
    </row>
    <row r="18" s="207" customFormat="1" ht="15" customHeight="1" spans="1:8">
      <c r="A18" s="224" t="s">
        <v>29</v>
      </c>
      <c r="B18" s="225">
        <f t="shared" si="2"/>
        <v>947</v>
      </c>
      <c r="C18" s="226">
        <f t="shared" si="3"/>
        <v>893</v>
      </c>
      <c r="D18" s="225">
        <v>893</v>
      </c>
      <c r="E18" s="226"/>
      <c r="F18" s="226">
        <f t="shared" si="4"/>
        <v>54</v>
      </c>
      <c r="G18" s="225">
        <v>54</v>
      </c>
      <c r="H18" s="226"/>
    </row>
    <row r="19" s="207" customFormat="1" ht="15" customHeight="1" spans="1:8">
      <c r="A19" s="224" t="s">
        <v>30</v>
      </c>
      <c r="B19" s="225">
        <f t="shared" si="2"/>
        <v>434</v>
      </c>
      <c r="C19" s="226">
        <f t="shared" si="3"/>
        <v>410</v>
      </c>
      <c r="D19" s="225">
        <v>410</v>
      </c>
      <c r="E19" s="226"/>
      <c r="F19" s="226">
        <f t="shared" si="4"/>
        <v>24</v>
      </c>
      <c r="G19" s="225">
        <v>24</v>
      </c>
      <c r="H19" s="226"/>
    </row>
    <row r="20" s="212" customFormat="1" ht="15" customHeight="1" spans="1:8">
      <c r="A20" s="222" t="s">
        <v>31</v>
      </c>
      <c r="B20" s="223">
        <f>SUM(B21:B26)</f>
        <v>3456</v>
      </c>
      <c r="C20" s="223">
        <f>SUM(C21:C26)</f>
        <v>3232</v>
      </c>
      <c r="D20" s="223">
        <f>SUM(D21:D26)</f>
        <v>2923</v>
      </c>
      <c r="E20" s="223">
        <f>SUM(E21:E26)</f>
        <v>309</v>
      </c>
      <c r="F20" s="226">
        <f t="shared" si="4"/>
        <v>224</v>
      </c>
      <c r="G20" s="223">
        <f>SUM(G21:G26)</f>
        <v>214</v>
      </c>
      <c r="H20" s="223">
        <f>SUM(H21:H26)</f>
        <v>10</v>
      </c>
    </row>
    <row r="21" s="207" customFormat="1" ht="15" customHeight="1" spans="1:8">
      <c r="A21" s="224" t="s">
        <v>32</v>
      </c>
      <c r="B21" s="225">
        <f t="shared" si="2"/>
        <v>1602</v>
      </c>
      <c r="C21" s="226">
        <f t="shared" si="3"/>
        <v>1512</v>
      </c>
      <c r="D21" s="225">
        <v>1203</v>
      </c>
      <c r="E21" s="226">
        <v>309</v>
      </c>
      <c r="F21" s="226">
        <f t="shared" si="4"/>
        <v>90</v>
      </c>
      <c r="G21" s="225">
        <v>80</v>
      </c>
      <c r="H21" s="226">
        <v>10</v>
      </c>
    </row>
    <row r="22" s="207" customFormat="1" ht="15" customHeight="1" spans="1:8">
      <c r="A22" s="224" t="s">
        <v>33</v>
      </c>
      <c r="B22" s="225">
        <f t="shared" si="2"/>
        <v>344</v>
      </c>
      <c r="C22" s="226">
        <f t="shared" si="3"/>
        <v>316</v>
      </c>
      <c r="D22" s="225">
        <v>316</v>
      </c>
      <c r="E22" s="226"/>
      <c r="F22" s="226">
        <f t="shared" si="4"/>
        <v>28</v>
      </c>
      <c r="G22" s="225">
        <v>28</v>
      </c>
      <c r="H22" s="226"/>
    </row>
    <row r="23" s="207" customFormat="1" ht="15" customHeight="1" spans="1:8">
      <c r="A23" s="224" t="s">
        <v>34</v>
      </c>
      <c r="B23" s="225">
        <f t="shared" si="2"/>
        <v>397</v>
      </c>
      <c r="C23" s="226">
        <f t="shared" si="3"/>
        <v>369</v>
      </c>
      <c r="D23" s="225">
        <v>369</v>
      </c>
      <c r="E23" s="226"/>
      <c r="F23" s="226">
        <f t="shared" si="4"/>
        <v>28</v>
      </c>
      <c r="G23" s="225">
        <v>28</v>
      </c>
      <c r="H23" s="226"/>
    </row>
    <row r="24" s="207" customFormat="1" ht="15" customHeight="1" spans="1:8">
      <c r="A24" s="224" t="s">
        <v>35</v>
      </c>
      <c r="B24" s="225">
        <f t="shared" si="2"/>
        <v>180</v>
      </c>
      <c r="C24" s="226">
        <f t="shared" si="3"/>
        <v>166</v>
      </c>
      <c r="D24" s="225">
        <v>166</v>
      </c>
      <c r="E24" s="226"/>
      <c r="F24" s="226">
        <f t="shared" si="4"/>
        <v>14</v>
      </c>
      <c r="G24" s="225">
        <v>14</v>
      </c>
      <c r="H24" s="226"/>
    </row>
    <row r="25" s="207" customFormat="1" ht="15" customHeight="1" spans="1:8">
      <c r="A25" s="224" t="s">
        <v>36</v>
      </c>
      <c r="B25" s="225">
        <f t="shared" si="2"/>
        <v>237</v>
      </c>
      <c r="C25" s="226">
        <f t="shared" si="3"/>
        <v>215</v>
      </c>
      <c r="D25" s="225">
        <v>215</v>
      </c>
      <c r="E25" s="226"/>
      <c r="F25" s="226">
        <f t="shared" si="4"/>
        <v>22</v>
      </c>
      <c r="G25" s="225">
        <v>22</v>
      </c>
      <c r="H25" s="226"/>
    </row>
    <row r="26" s="207" customFormat="1" ht="15" customHeight="1" spans="1:8">
      <c r="A26" s="224" t="s">
        <v>37</v>
      </c>
      <c r="B26" s="225">
        <f t="shared" si="2"/>
        <v>696</v>
      </c>
      <c r="C26" s="226">
        <f t="shared" si="3"/>
        <v>654</v>
      </c>
      <c r="D26" s="225">
        <v>654</v>
      </c>
      <c r="E26" s="226"/>
      <c r="F26" s="226">
        <f t="shared" si="4"/>
        <v>42</v>
      </c>
      <c r="G26" s="225">
        <v>42</v>
      </c>
      <c r="H26" s="226"/>
    </row>
    <row r="27" s="212" customFormat="1" ht="15" customHeight="1" spans="1:8">
      <c r="A27" s="222" t="s">
        <v>38</v>
      </c>
      <c r="B27" s="223">
        <f>SUM(B28:B37)</f>
        <v>3049</v>
      </c>
      <c r="C27" s="223">
        <f t="shared" ref="C27:H27" si="5">SUM(C28:C37)</f>
        <v>2668</v>
      </c>
      <c r="D27" s="223">
        <f t="shared" si="5"/>
        <v>2275</v>
      </c>
      <c r="E27" s="223">
        <f t="shared" si="5"/>
        <v>393</v>
      </c>
      <c r="F27" s="223">
        <f t="shared" si="5"/>
        <v>381</v>
      </c>
      <c r="G27" s="223">
        <f t="shared" si="5"/>
        <v>373</v>
      </c>
      <c r="H27" s="223">
        <f t="shared" si="5"/>
        <v>8</v>
      </c>
    </row>
    <row r="28" s="207" customFormat="1" ht="15" customHeight="1" spans="1:8">
      <c r="A28" s="224" t="s">
        <v>39</v>
      </c>
      <c r="B28" s="225">
        <f t="shared" si="2"/>
        <v>1156</v>
      </c>
      <c r="C28" s="226">
        <f t="shared" si="3"/>
        <v>1073</v>
      </c>
      <c r="D28" s="225">
        <v>680</v>
      </c>
      <c r="E28" s="226">
        <v>393</v>
      </c>
      <c r="F28" s="226">
        <f t="shared" si="4"/>
        <v>83</v>
      </c>
      <c r="G28" s="225">
        <v>75</v>
      </c>
      <c r="H28" s="226">
        <v>8</v>
      </c>
    </row>
    <row r="29" s="207" customFormat="1" ht="15" customHeight="1" spans="1:8">
      <c r="A29" s="224" t="s">
        <v>40</v>
      </c>
      <c r="B29" s="225">
        <f t="shared" si="2"/>
        <v>106</v>
      </c>
      <c r="C29" s="226">
        <f t="shared" si="3"/>
        <v>91</v>
      </c>
      <c r="D29" s="225">
        <v>91</v>
      </c>
      <c r="E29" s="226"/>
      <c r="F29" s="226">
        <f t="shared" si="4"/>
        <v>15</v>
      </c>
      <c r="G29" s="225">
        <v>15</v>
      </c>
      <c r="H29" s="226"/>
    </row>
    <row r="30" s="207" customFormat="1" ht="15" customHeight="1" spans="1:8">
      <c r="A30" s="224" t="s">
        <v>41</v>
      </c>
      <c r="B30" s="225">
        <f t="shared" si="2"/>
        <v>172</v>
      </c>
      <c r="C30" s="226">
        <f t="shared" si="3"/>
        <v>150</v>
      </c>
      <c r="D30" s="225">
        <v>150</v>
      </c>
      <c r="E30" s="226"/>
      <c r="F30" s="226">
        <f t="shared" si="4"/>
        <v>22</v>
      </c>
      <c r="G30" s="225">
        <v>22</v>
      </c>
      <c r="H30" s="226"/>
    </row>
    <row r="31" s="207" customFormat="1" ht="15" customHeight="1" spans="1:8">
      <c r="A31" s="224" t="s">
        <v>42</v>
      </c>
      <c r="B31" s="225">
        <f t="shared" si="2"/>
        <v>498</v>
      </c>
      <c r="C31" s="226">
        <f t="shared" si="3"/>
        <v>407</v>
      </c>
      <c r="D31" s="225">
        <v>407</v>
      </c>
      <c r="E31" s="226"/>
      <c r="F31" s="226">
        <f t="shared" si="4"/>
        <v>91</v>
      </c>
      <c r="G31" s="225">
        <v>91</v>
      </c>
      <c r="H31" s="226"/>
    </row>
    <row r="32" s="207" customFormat="1" ht="15" customHeight="1" spans="1:8">
      <c r="A32" s="224" t="s">
        <v>43</v>
      </c>
      <c r="B32" s="225">
        <f t="shared" si="2"/>
        <v>236</v>
      </c>
      <c r="C32" s="226">
        <f t="shared" si="3"/>
        <v>210</v>
      </c>
      <c r="D32" s="225">
        <v>210</v>
      </c>
      <c r="E32" s="226"/>
      <c r="F32" s="226">
        <f t="shared" si="4"/>
        <v>26</v>
      </c>
      <c r="G32" s="225">
        <v>26</v>
      </c>
      <c r="H32" s="226"/>
    </row>
    <row r="33" s="207" customFormat="1" ht="15" customHeight="1" spans="1:8">
      <c r="A33" s="224" t="s">
        <v>44</v>
      </c>
      <c r="B33" s="225">
        <f t="shared" si="2"/>
        <v>3</v>
      </c>
      <c r="C33" s="226">
        <f t="shared" si="3"/>
        <v>0</v>
      </c>
      <c r="D33" s="225"/>
      <c r="E33" s="226"/>
      <c r="F33" s="226">
        <f t="shared" si="4"/>
        <v>3</v>
      </c>
      <c r="G33" s="225">
        <v>3</v>
      </c>
      <c r="H33" s="226"/>
    </row>
    <row r="34" s="207" customFormat="1" ht="15" customHeight="1" spans="1:8">
      <c r="A34" s="224" t="s">
        <v>45</v>
      </c>
      <c r="B34" s="225">
        <f t="shared" si="2"/>
        <v>119</v>
      </c>
      <c r="C34" s="226">
        <f t="shared" si="3"/>
        <v>89</v>
      </c>
      <c r="D34" s="225">
        <v>89</v>
      </c>
      <c r="E34" s="226"/>
      <c r="F34" s="226">
        <f t="shared" si="4"/>
        <v>30</v>
      </c>
      <c r="G34" s="225">
        <v>30</v>
      </c>
      <c r="H34" s="226"/>
    </row>
    <row r="35" s="207" customFormat="1" ht="15" customHeight="1" spans="1:8">
      <c r="A35" s="224" t="s">
        <v>46</v>
      </c>
      <c r="B35" s="225">
        <f t="shared" si="2"/>
        <v>176</v>
      </c>
      <c r="C35" s="226">
        <f t="shared" si="3"/>
        <v>158</v>
      </c>
      <c r="D35" s="225">
        <v>158</v>
      </c>
      <c r="E35" s="226"/>
      <c r="F35" s="226">
        <f t="shared" si="4"/>
        <v>18</v>
      </c>
      <c r="G35" s="225">
        <v>18</v>
      </c>
      <c r="H35" s="226"/>
    </row>
    <row r="36" s="207" customFormat="1" ht="15" customHeight="1" spans="1:8">
      <c r="A36" s="224" t="s">
        <v>47</v>
      </c>
      <c r="B36" s="225">
        <f t="shared" si="2"/>
        <v>111</v>
      </c>
      <c r="C36" s="226">
        <f t="shared" si="3"/>
        <v>84</v>
      </c>
      <c r="D36" s="225">
        <v>84</v>
      </c>
      <c r="E36" s="226"/>
      <c r="F36" s="226">
        <f t="shared" si="4"/>
        <v>27</v>
      </c>
      <c r="G36" s="225">
        <v>27</v>
      </c>
      <c r="H36" s="226"/>
    </row>
    <row r="37" s="212" customFormat="1" ht="15" customHeight="1" spans="1:8">
      <c r="A37" s="224" t="s">
        <v>48</v>
      </c>
      <c r="B37" s="225">
        <f t="shared" si="2"/>
        <v>472</v>
      </c>
      <c r="C37" s="226">
        <f t="shared" si="3"/>
        <v>406</v>
      </c>
      <c r="D37" s="225">
        <v>406</v>
      </c>
      <c r="E37" s="226"/>
      <c r="F37" s="226">
        <f t="shared" si="4"/>
        <v>66</v>
      </c>
      <c r="G37" s="225">
        <v>66</v>
      </c>
      <c r="H37" s="226"/>
    </row>
    <row r="38" s="207" customFormat="1" ht="15" customHeight="1" spans="1:8">
      <c r="A38" s="222" t="s">
        <v>49</v>
      </c>
      <c r="B38" s="223">
        <f t="shared" ref="B38:H38" si="6">SUM(B39:B50)</f>
        <v>10055</v>
      </c>
      <c r="C38" s="223">
        <f t="shared" si="6"/>
        <v>9264</v>
      </c>
      <c r="D38" s="223">
        <f t="shared" si="6"/>
        <v>8397</v>
      </c>
      <c r="E38" s="223">
        <f t="shared" si="6"/>
        <v>867</v>
      </c>
      <c r="F38" s="223">
        <f t="shared" si="6"/>
        <v>791</v>
      </c>
      <c r="G38" s="223">
        <f t="shared" si="6"/>
        <v>719</v>
      </c>
      <c r="H38" s="223">
        <f t="shared" si="6"/>
        <v>72</v>
      </c>
    </row>
    <row r="39" s="207" customFormat="1" ht="15" customHeight="1" spans="1:8">
      <c r="A39" s="224" t="s">
        <v>50</v>
      </c>
      <c r="B39" s="225">
        <f t="shared" si="2"/>
        <v>1928</v>
      </c>
      <c r="C39" s="226">
        <f t="shared" si="3"/>
        <v>1750</v>
      </c>
      <c r="D39" s="225">
        <v>1269</v>
      </c>
      <c r="E39" s="226">
        <v>481</v>
      </c>
      <c r="F39" s="226">
        <f t="shared" si="4"/>
        <v>178</v>
      </c>
      <c r="G39" s="225">
        <v>137</v>
      </c>
      <c r="H39" s="226">
        <v>41</v>
      </c>
    </row>
    <row r="40" s="207" customFormat="1" ht="15" customHeight="1" spans="1:8">
      <c r="A40" s="224" t="s">
        <v>51</v>
      </c>
      <c r="B40" s="225">
        <f t="shared" si="2"/>
        <v>154</v>
      </c>
      <c r="C40" s="226">
        <f t="shared" si="3"/>
        <v>144</v>
      </c>
      <c r="D40" s="225">
        <v>144</v>
      </c>
      <c r="E40" s="226"/>
      <c r="F40" s="226">
        <f t="shared" si="4"/>
        <v>10</v>
      </c>
      <c r="G40" s="225">
        <v>10</v>
      </c>
      <c r="H40" s="226"/>
    </row>
    <row r="41" s="207" customFormat="1" ht="15" customHeight="1" spans="1:8">
      <c r="A41" s="224" t="s">
        <v>52</v>
      </c>
      <c r="B41" s="225">
        <f t="shared" si="2"/>
        <v>566</v>
      </c>
      <c r="C41" s="226">
        <f t="shared" si="3"/>
        <v>532</v>
      </c>
      <c r="D41" s="225">
        <v>532</v>
      </c>
      <c r="E41" s="226"/>
      <c r="F41" s="226">
        <f t="shared" si="4"/>
        <v>34</v>
      </c>
      <c r="G41" s="225">
        <v>34</v>
      </c>
      <c r="H41" s="226"/>
    </row>
    <row r="42" s="207" customFormat="1" ht="15" customHeight="1" spans="1:8">
      <c r="A42" s="224" t="s">
        <v>53</v>
      </c>
      <c r="B42" s="225">
        <f t="shared" ref="B42:B73" si="7">C42+F42</f>
        <v>149</v>
      </c>
      <c r="C42" s="226">
        <f t="shared" ref="C42:C73" si="8">D42+E42</f>
        <v>133</v>
      </c>
      <c r="D42" s="225">
        <v>133</v>
      </c>
      <c r="E42" s="226"/>
      <c r="F42" s="226">
        <f t="shared" ref="F42:F73" si="9">G42+H42</f>
        <v>16</v>
      </c>
      <c r="G42" s="225">
        <v>16</v>
      </c>
      <c r="H42" s="226"/>
    </row>
    <row r="43" s="207" customFormat="1" ht="15" customHeight="1" spans="1:8">
      <c r="A43" s="224" t="s">
        <v>54</v>
      </c>
      <c r="B43" s="225">
        <f t="shared" si="7"/>
        <v>1073</v>
      </c>
      <c r="C43" s="226">
        <f t="shared" si="8"/>
        <v>1005</v>
      </c>
      <c r="D43" s="225">
        <v>619</v>
      </c>
      <c r="E43" s="226">
        <v>386</v>
      </c>
      <c r="F43" s="226">
        <f t="shared" si="9"/>
        <v>68</v>
      </c>
      <c r="G43" s="225">
        <v>37</v>
      </c>
      <c r="H43" s="226">
        <v>31</v>
      </c>
    </row>
    <row r="44" s="207" customFormat="1" ht="15" customHeight="1" spans="1:8">
      <c r="A44" s="224" t="s">
        <v>55</v>
      </c>
      <c r="B44" s="225">
        <f t="shared" si="7"/>
        <v>1547</v>
      </c>
      <c r="C44" s="226">
        <f t="shared" si="8"/>
        <v>1404</v>
      </c>
      <c r="D44" s="225">
        <v>1404</v>
      </c>
      <c r="E44" s="226"/>
      <c r="F44" s="226">
        <f t="shared" si="9"/>
        <v>143</v>
      </c>
      <c r="G44" s="225">
        <v>143</v>
      </c>
      <c r="H44" s="226"/>
    </row>
    <row r="45" s="207" customFormat="1" ht="15" customHeight="1" spans="1:8">
      <c r="A45" s="224" t="s">
        <v>56</v>
      </c>
      <c r="B45" s="225">
        <f t="shared" si="7"/>
        <v>500</v>
      </c>
      <c r="C45" s="226">
        <f t="shared" si="8"/>
        <v>467</v>
      </c>
      <c r="D45" s="225">
        <v>467</v>
      </c>
      <c r="E45" s="226"/>
      <c r="F45" s="226">
        <f t="shared" si="9"/>
        <v>33</v>
      </c>
      <c r="G45" s="225">
        <v>33</v>
      </c>
      <c r="H45" s="226"/>
    </row>
    <row r="46" s="207" customFormat="1" ht="15" customHeight="1" spans="1:8">
      <c r="A46" s="224" t="s">
        <v>57</v>
      </c>
      <c r="B46" s="225">
        <f t="shared" si="7"/>
        <v>469</v>
      </c>
      <c r="C46" s="226">
        <f t="shared" si="8"/>
        <v>430</v>
      </c>
      <c r="D46" s="225">
        <v>430</v>
      </c>
      <c r="E46" s="226"/>
      <c r="F46" s="226">
        <f t="shared" si="9"/>
        <v>39</v>
      </c>
      <c r="G46" s="225">
        <v>39</v>
      </c>
      <c r="H46" s="226"/>
    </row>
    <row r="47" s="207" customFormat="1" ht="15" customHeight="1" spans="1:8">
      <c r="A47" s="224" t="s">
        <v>58</v>
      </c>
      <c r="B47" s="225">
        <f t="shared" si="7"/>
        <v>320</v>
      </c>
      <c r="C47" s="226">
        <f t="shared" si="8"/>
        <v>285</v>
      </c>
      <c r="D47" s="225">
        <v>285</v>
      </c>
      <c r="E47" s="226"/>
      <c r="F47" s="226">
        <f t="shared" si="9"/>
        <v>35</v>
      </c>
      <c r="G47" s="225">
        <v>35</v>
      </c>
      <c r="H47" s="226"/>
    </row>
    <row r="48" s="207" customFormat="1" ht="15" customHeight="1" spans="1:8">
      <c r="A48" s="224" t="s">
        <v>59</v>
      </c>
      <c r="B48" s="225">
        <f t="shared" si="7"/>
        <v>1535</v>
      </c>
      <c r="C48" s="226">
        <f t="shared" si="8"/>
        <v>1414</v>
      </c>
      <c r="D48" s="225">
        <v>1414</v>
      </c>
      <c r="E48" s="226"/>
      <c r="F48" s="226">
        <f t="shared" si="9"/>
        <v>121</v>
      </c>
      <c r="G48" s="225">
        <v>121</v>
      </c>
      <c r="H48" s="226"/>
    </row>
    <row r="49" s="212" customFormat="1" ht="15" customHeight="1" spans="1:8">
      <c r="A49" s="224" t="s">
        <v>60</v>
      </c>
      <c r="B49" s="225">
        <f t="shared" si="7"/>
        <v>1677</v>
      </c>
      <c r="C49" s="226">
        <f t="shared" si="8"/>
        <v>1563</v>
      </c>
      <c r="D49" s="225">
        <v>1563</v>
      </c>
      <c r="E49" s="226"/>
      <c r="F49" s="226">
        <f t="shared" si="9"/>
        <v>114</v>
      </c>
      <c r="G49" s="225">
        <v>114</v>
      </c>
      <c r="H49" s="226"/>
    </row>
    <row r="50" s="207" customFormat="1" ht="15" customHeight="1" spans="1:8">
      <c r="A50" s="224" t="s">
        <v>61</v>
      </c>
      <c r="B50" s="225">
        <f t="shared" si="7"/>
        <v>137</v>
      </c>
      <c r="C50" s="226">
        <f t="shared" si="8"/>
        <v>137</v>
      </c>
      <c r="D50" s="225">
        <v>137</v>
      </c>
      <c r="E50" s="227"/>
      <c r="F50" s="226">
        <f t="shared" si="9"/>
        <v>0</v>
      </c>
      <c r="G50" s="225">
        <v>0</v>
      </c>
      <c r="H50" s="227"/>
    </row>
    <row r="51" s="212" customFormat="1" ht="15" customHeight="1" spans="1:8">
      <c r="A51" s="222" t="s">
        <v>62</v>
      </c>
      <c r="B51" s="223">
        <f t="shared" ref="B51:H51" si="10">SUM(B52:B64)</f>
        <v>5151</v>
      </c>
      <c r="C51" s="223">
        <f t="shared" si="10"/>
        <v>4706</v>
      </c>
      <c r="D51" s="223">
        <f t="shared" si="10"/>
        <v>3661</v>
      </c>
      <c r="E51" s="223">
        <f t="shared" si="10"/>
        <v>1045</v>
      </c>
      <c r="F51" s="223">
        <f t="shared" si="10"/>
        <v>445</v>
      </c>
      <c r="G51" s="223">
        <f t="shared" si="10"/>
        <v>333</v>
      </c>
      <c r="H51" s="223">
        <f t="shared" si="10"/>
        <v>112</v>
      </c>
    </row>
    <row r="52" s="207" customFormat="1" ht="15" customHeight="1" spans="1:8">
      <c r="A52" s="224" t="s">
        <v>63</v>
      </c>
      <c r="B52" s="225">
        <f t="shared" si="7"/>
        <v>2227</v>
      </c>
      <c r="C52" s="226">
        <f t="shared" si="8"/>
        <v>2043</v>
      </c>
      <c r="D52" s="225">
        <v>1605</v>
      </c>
      <c r="E52" s="226">
        <v>438</v>
      </c>
      <c r="F52" s="226">
        <f t="shared" si="9"/>
        <v>184</v>
      </c>
      <c r="G52" s="225">
        <v>149</v>
      </c>
      <c r="H52" s="226">
        <v>35</v>
      </c>
    </row>
    <row r="53" s="207" customFormat="1" ht="15" customHeight="1" spans="1:8">
      <c r="A53" s="224" t="s">
        <v>64</v>
      </c>
      <c r="B53" s="225">
        <f t="shared" si="7"/>
        <v>11</v>
      </c>
      <c r="C53" s="226">
        <f t="shared" si="8"/>
        <v>7</v>
      </c>
      <c r="D53" s="225">
        <v>7</v>
      </c>
      <c r="E53" s="226"/>
      <c r="F53" s="226">
        <f t="shared" si="9"/>
        <v>4</v>
      </c>
      <c r="G53" s="225">
        <v>4</v>
      </c>
      <c r="H53" s="226"/>
    </row>
    <row r="54" s="207" customFormat="1" ht="15" customHeight="1" spans="1:8">
      <c r="A54" s="224" t="s">
        <v>65</v>
      </c>
      <c r="B54" s="225">
        <f t="shared" si="7"/>
        <v>393</v>
      </c>
      <c r="C54" s="226">
        <f t="shared" si="8"/>
        <v>350</v>
      </c>
      <c r="D54" s="225">
        <v>350</v>
      </c>
      <c r="E54" s="226"/>
      <c r="F54" s="226">
        <f t="shared" si="9"/>
        <v>43</v>
      </c>
      <c r="G54" s="225">
        <v>43</v>
      </c>
      <c r="H54" s="226"/>
    </row>
    <row r="55" s="207" customFormat="1" ht="15" customHeight="1" spans="1:8">
      <c r="A55" s="224" t="s">
        <v>66</v>
      </c>
      <c r="B55" s="225">
        <f t="shared" si="7"/>
        <v>220</v>
      </c>
      <c r="C55" s="226">
        <f t="shared" si="8"/>
        <v>202</v>
      </c>
      <c r="D55" s="225">
        <v>202</v>
      </c>
      <c r="E55" s="226"/>
      <c r="F55" s="226">
        <f t="shared" si="9"/>
        <v>18</v>
      </c>
      <c r="G55" s="225">
        <v>18</v>
      </c>
      <c r="H55" s="226"/>
    </row>
    <row r="56" s="207" customFormat="1" ht="15" customHeight="1" spans="1:8">
      <c r="A56" s="224" t="s">
        <v>67</v>
      </c>
      <c r="B56" s="225">
        <f t="shared" si="7"/>
        <v>280</v>
      </c>
      <c r="C56" s="226">
        <f t="shared" si="8"/>
        <v>249</v>
      </c>
      <c r="D56" s="225">
        <v>249</v>
      </c>
      <c r="E56" s="226"/>
      <c r="F56" s="226">
        <f t="shared" si="9"/>
        <v>31</v>
      </c>
      <c r="G56" s="225">
        <v>31</v>
      </c>
      <c r="H56" s="226"/>
    </row>
    <row r="57" s="207" customFormat="1" ht="15" customHeight="1" spans="1:8">
      <c r="A57" s="224" t="s">
        <v>68</v>
      </c>
      <c r="B57" s="225">
        <f t="shared" si="7"/>
        <v>69</v>
      </c>
      <c r="C57" s="226">
        <f t="shared" si="8"/>
        <v>61</v>
      </c>
      <c r="D57" s="225">
        <v>61</v>
      </c>
      <c r="E57" s="226"/>
      <c r="F57" s="226">
        <f t="shared" si="9"/>
        <v>8</v>
      </c>
      <c r="G57" s="225">
        <v>8</v>
      </c>
      <c r="H57" s="226"/>
    </row>
    <row r="58" s="207" customFormat="1" ht="15" customHeight="1" spans="1:8">
      <c r="A58" s="224" t="s">
        <v>69</v>
      </c>
      <c r="B58" s="225">
        <f t="shared" si="7"/>
        <v>243</v>
      </c>
      <c r="C58" s="226">
        <f t="shared" si="8"/>
        <v>224</v>
      </c>
      <c r="D58" s="225">
        <v>224</v>
      </c>
      <c r="E58" s="226"/>
      <c r="F58" s="226">
        <f t="shared" si="9"/>
        <v>19</v>
      </c>
      <c r="G58" s="225">
        <v>19</v>
      </c>
      <c r="H58" s="226"/>
    </row>
    <row r="59" s="207" customFormat="1" ht="15" customHeight="1" spans="1:8">
      <c r="A59" s="224" t="s">
        <v>70</v>
      </c>
      <c r="B59" s="225">
        <f t="shared" si="7"/>
        <v>386</v>
      </c>
      <c r="C59" s="226">
        <f t="shared" si="8"/>
        <v>386</v>
      </c>
      <c r="D59" s="225">
        <v>386</v>
      </c>
      <c r="E59" s="226"/>
      <c r="F59" s="226">
        <f t="shared" si="9"/>
        <v>0</v>
      </c>
      <c r="G59" s="225">
        <v>0</v>
      </c>
      <c r="H59" s="226"/>
    </row>
    <row r="60" s="207" customFormat="1" ht="15" customHeight="1" spans="1:8">
      <c r="A60" s="224" t="s">
        <v>71</v>
      </c>
      <c r="B60" s="225">
        <f t="shared" si="7"/>
        <v>238</v>
      </c>
      <c r="C60" s="226">
        <f t="shared" si="8"/>
        <v>213</v>
      </c>
      <c r="D60" s="225">
        <v>182</v>
      </c>
      <c r="E60" s="226">
        <v>31</v>
      </c>
      <c r="F60" s="226">
        <f t="shared" si="9"/>
        <v>25</v>
      </c>
      <c r="G60" s="225">
        <v>22</v>
      </c>
      <c r="H60" s="226">
        <v>3</v>
      </c>
    </row>
    <row r="61" s="207" customFormat="1" ht="15" customHeight="1" spans="1:8">
      <c r="A61" s="224" t="s">
        <v>72</v>
      </c>
      <c r="B61" s="225">
        <f t="shared" si="7"/>
        <v>94</v>
      </c>
      <c r="C61" s="226">
        <f t="shared" si="8"/>
        <v>84</v>
      </c>
      <c r="D61" s="225">
        <v>84</v>
      </c>
      <c r="E61" s="226"/>
      <c r="F61" s="226">
        <f t="shared" si="9"/>
        <v>10</v>
      </c>
      <c r="G61" s="225">
        <v>10</v>
      </c>
      <c r="H61" s="226"/>
    </row>
    <row r="62" s="212" customFormat="1" ht="15" customHeight="1" spans="1:8">
      <c r="A62" s="224" t="s">
        <v>73</v>
      </c>
      <c r="B62" s="225">
        <f t="shared" si="7"/>
        <v>200</v>
      </c>
      <c r="C62" s="226">
        <f t="shared" si="8"/>
        <v>182</v>
      </c>
      <c r="D62" s="225">
        <v>182</v>
      </c>
      <c r="E62" s="226"/>
      <c r="F62" s="226">
        <f t="shared" si="9"/>
        <v>18</v>
      </c>
      <c r="G62" s="225">
        <v>18</v>
      </c>
      <c r="H62" s="226"/>
    </row>
    <row r="63" s="212" customFormat="1" ht="15" customHeight="1" spans="1:8">
      <c r="A63" s="224" t="s">
        <v>74</v>
      </c>
      <c r="B63" s="225">
        <f t="shared" si="7"/>
        <v>11</v>
      </c>
      <c r="C63" s="226">
        <f t="shared" si="8"/>
        <v>0</v>
      </c>
      <c r="D63" s="225"/>
      <c r="E63" s="226"/>
      <c r="F63" s="226">
        <f t="shared" si="9"/>
        <v>11</v>
      </c>
      <c r="G63" s="225"/>
      <c r="H63" s="226">
        <v>11</v>
      </c>
    </row>
    <row r="64" s="212" customFormat="1" ht="15" customHeight="1" spans="1:8">
      <c r="A64" s="224" t="s">
        <v>75</v>
      </c>
      <c r="B64" s="225">
        <f t="shared" si="7"/>
        <v>779</v>
      </c>
      <c r="C64" s="226">
        <f t="shared" si="8"/>
        <v>705</v>
      </c>
      <c r="D64" s="225">
        <v>129</v>
      </c>
      <c r="E64" s="227">
        <v>576</v>
      </c>
      <c r="F64" s="226">
        <f t="shared" si="9"/>
        <v>74</v>
      </c>
      <c r="G64" s="225">
        <v>11</v>
      </c>
      <c r="H64" s="227">
        <v>63</v>
      </c>
    </row>
    <row r="65" s="207" customFormat="1" ht="15" customHeight="1" spans="1:8">
      <c r="A65" s="222" t="s">
        <v>76</v>
      </c>
      <c r="B65" s="223">
        <f>SUM(B66:B75)</f>
        <v>4091</v>
      </c>
      <c r="C65" s="223">
        <f t="shared" ref="C65:H65" si="11">SUM(C66:C75)</f>
        <v>3717</v>
      </c>
      <c r="D65" s="223">
        <f t="shared" si="11"/>
        <v>2578</v>
      </c>
      <c r="E65" s="223">
        <f t="shared" si="11"/>
        <v>1139</v>
      </c>
      <c r="F65" s="223">
        <f t="shared" si="11"/>
        <v>374</v>
      </c>
      <c r="G65" s="223">
        <f t="shared" si="11"/>
        <v>361</v>
      </c>
      <c r="H65" s="223">
        <f t="shared" si="11"/>
        <v>13</v>
      </c>
    </row>
    <row r="66" s="207" customFormat="1" ht="15" customHeight="1" spans="1:8">
      <c r="A66" s="224" t="s">
        <v>77</v>
      </c>
      <c r="B66" s="225">
        <f t="shared" si="7"/>
        <v>2153</v>
      </c>
      <c r="C66" s="226">
        <f t="shared" ref="C66:C74" si="12">D66+E66</f>
        <v>2038</v>
      </c>
      <c r="D66" s="225">
        <v>1117</v>
      </c>
      <c r="E66" s="226">
        <v>921</v>
      </c>
      <c r="F66" s="226">
        <f t="shared" ref="F66:F74" si="13">G66+H66</f>
        <v>115</v>
      </c>
      <c r="G66" s="225">
        <v>102</v>
      </c>
      <c r="H66" s="226">
        <v>13</v>
      </c>
    </row>
    <row r="67" s="207" customFormat="1" ht="15" customHeight="1" spans="1:8">
      <c r="A67" s="224" t="s">
        <v>78</v>
      </c>
      <c r="B67" s="225">
        <f t="shared" si="7"/>
        <v>183</v>
      </c>
      <c r="C67" s="226">
        <f t="shared" si="12"/>
        <v>165</v>
      </c>
      <c r="D67" s="225">
        <v>165</v>
      </c>
      <c r="E67" s="226"/>
      <c r="F67" s="226">
        <f t="shared" si="13"/>
        <v>18</v>
      </c>
      <c r="G67" s="225">
        <v>18</v>
      </c>
      <c r="H67" s="226"/>
    </row>
    <row r="68" s="207" customFormat="1" ht="15" customHeight="1" spans="1:8">
      <c r="A68" s="224" t="s">
        <v>79</v>
      </c>
      <c r="B68" s="225">
        <f t="shared" si="7"/>
        <v>152</v>
      </c>
      <c r="C68" s="226">
        <f t="shared" si="12"/>
        <v>131</v>
      </c>
      <c r="D68" s="225">
        <v>131</v>
      </c>
      <c r="E68" s="226"/>
      <c r="F68" s="226">
        <f t="shared" si="13"/>
        <v>21</v>
      </c>
      <c r="G68" s="225">
        <v>21</v>
      </c>
      <c r="H68" s="226"/>
    </row>
    <row r="69" s="207" customFormat="1" ht="15" customHeight="1" spans="1:8">
      <c r="A69" s="224" t="s">
        <v>80</v>
      </c>
      <c r="B69" s="225">
        <f t="shared" si="7"/>
        <v>151</v>
      </c>
      <c r="C69" s="226">
        <f t="shared" si="12"/>
        <v>128</v>
      </c>
      <c r="D69" s="225">
        <v>128</v>
      </c>
      <c r="E69" s="226"/>
      <c r="F69" s="226">
        <f t="shared" si="13"/>
        <v>23</v>
      </c>
      <c r="G69" s="225">
        <v>23</v>
      </c>
      <c r="H69" s="226"/>
    </row>
    <row r="70" s="207" customFormat="1" ht="15" customHeight="1" spans="1:8">
      <c r="A70" s="224" t="s">
        <v>81</v>
      </c>
      <c r="B70" s="225">
        <f t="shared" si="7"/>
        <v>134</v>
      </c>
      <c r="C70" s="226">
        <f t="shared" si="12"/>
        <v>87</v>
      </c>
      <c r="D70" s="225">
        <v>87</v>
      </c>
      <c r="E70" s="226"/>
      <c r="F70" s="226">
        <f t="shared" si="13"/>
        <v>47</v>
      </c>
      <c r="G70" s="225">
        <v>47</v>
      </c>
      <c r="H70" s="226"/>
    </row>
    <row r="71" s="207" customFormat="1" ht="15" customHeight="1" spans="1:8">
      <c r="A71" s="224" t="s">
        <v>82</v>
      </c>
      <c r="B71" s="225">
        <f t="shared" si="7"/>
        <v>113</v>
      </c>
      <c r="C71" s="226">
        <f t="shared" si="12"/>
        <v>99</v>
      </c>
      <c r="D71" s="225">
        <v>99</v>
      </c>
      <c r="E71" s="226"/>
      <c r="F71" s="226">
        <f t="shared" si="13"/>
        <v>14</v>
      </c>
      <c r="G71" s="225">
        <v>14</v>
      </c>
      <c r="H71" s="226"/>
    </row>
    <row r="72" s="207" customFormat="1" ht="15" customHeight="1" spans="1:8">
      <c r="A72" s="224" t="s">
        <v>83</v>
      </c>
      <c r="B72" s="225">
        <f t="shared" si="7"/>
        <v>118</v>
      </c>
      <c r="C72" s="226">
        <f t="shared" si="12"/>
        <v>97</v>
      </c>
      <c r="D72" s="225">
        <v>97</v>
      </c>
      <c r="E72" s="226"/>
      <c r="F72" s="226">
        <f t="shared" si="13"/>
        <v>21</v>
      </c>
      <c r="G72" s="225">
        <v>21</v>
      </c>
      <c r="H72" s="226"/>
    </row>
    <row r="73" s="207" customFormat="1" ht="15" customHeight="1" spans="1:8">
      <c r="A73" s="224" t="s">
        <v>84</v>
      </c>
      <c r="B73" s="225">
        <f t="shared" si="7"/>
        <v>273</v>
      </c>
      <c r="C73" s="226">
        <f t="shared" si="12"/>
        <v>249</v>
      </c>
      <c r="D73" s="225">
        <v>249</v>
      </c>
      <c r="E73" s="226"/>
      <c r="F73" s="226">
        <f t="shared" si="13"/>
        <v>24</v>
      </c>
      <c r="G73" s="225">
        <v>24</v>
      </c>
      <c r="H73" s="226"/>
    </row>
    <row r="74" s="212" customFormat="1" ht="15" customHeight="1" spans="1:8">
      <c r="A74" s="224" t="s">
        <v>85</v>
      </c>
      <c r="B74" s="225">
        <f t="shared" ref="B74:B96" si="14">C74+F74</f>
        <v>355</v>
      </c>
      <c r="C74" s="226">
        <f t="shared" si="12"/>
        <v>288</v>
      </c>
      <c r="D74" s="225">
        <v>288</v>
      </c>
      <c r="E74" s="226"/>
      <c r="F74" s="226">
        <f t="shared" si="13"/>
        <v>67</v>
      </c>
      <c r="G74" s="225">
        <v>67</v>
      </c>
      <c r="H74" s="226"/>
    </row>
    <row r="75" s="212" customFormat="1" ht="15" customHeight="1" spans="1:8">
      <c r="A75" s="224" t="s">
        <v>86</v>
      </c>
      <c r="B75" s="225">
        <f t="shared" si="14"/>
        <v>459</v>
      </c>
      <c r="C75" s="226">
        <f t="shared" ref="C75:C96" si="15">D75+E75</f>
        <v>435</v>
      </c>
      <c r="D75" s="225">
        <v>217</v>
      </c>
      <c r="E75" s="227">
        <v>218</v>
      </c>
      <c r="F75" s="226">
        <f t="shared" ref="F75:F96" si="16">G75+H75</f>
        <v>24</v>
      </c>
      <c r="G75" s="225">
        <v>24</v>
      </c>
      <c r="H75" s="227"/>
    </row>
    <row r="76" s="207" customFormat="1" ht="15" customHeight="1" spans="1:8">
      <c r="A76" s="222" t="s">
        <v>87</v>
      </c>
      <c r="B76" s="223">
        <f>SUM(B77:B84)</f>
        <v>5138</v>
      </c>
      <c r="C76" s="223">
        <f t="shared" ref="C76:H76" si="17">SUM(C77:C84)</f>
        <v>4487</v>
      </c>
      <c r="D76" s="223">
        <f t="shared" si="17"/>
        <v>2724</v>
      </c>
      <c r="E76" s="223">
        <f t="shared" si="17"/>
        <v>1763</v>
      </c>
      <c r="F76" s="223">
        <f t="shared" si="17"/>
        <v>651</v>
      </c>
      <c r="G76" s="223">
        <f t="shared" si="17"/>
        <v>481</v>
      </c>
      <c r="H76" s="223">
        <f t="shared" si="17"/>
        <v>170</v>
      </c>
    </row>
    <row r="77" s="207" customFormat="1" ht="15" customHeight="1" spans="1:8">
      <c r="A77" s="224" t="s">
        <v>88</v>
      </c>
      <c r="B77" s="225">
        <f t="shared" si="14"/>
        <v>2683</v>
      </c>
      <c r="C77" s="226">
        <f t="shared" si="15"/>
        <v>2361</v>
      </c>
      <c r="D77" s="225">
        <v>598</v>
      </c>
      <c r="E77" s="226">
        <v>1763</v>
      </c>
      <c r="F77" s="226">
        <f t="shared" si="16"/>
        <v>322</v>
      </c>
      <c r="G77" s="225">
        <v>152</v>
      </c>
      <c r="H77" s="226">
        <v>170</v>
      </c>
    </row>
    <row r="78" s="207" customFormat="1" ht="15" customHeight="1" spans="1:8">
      <c r="A78" s="224" t="s">
        <v>89</v>
      </c>
      <c r="B78" s="225">
        <f t="shared" si="14"/>
        <v>476</v>
      </c>
      <c r="C78" s="226">
        <f t="shared" si="15"/>
        <v>419</v>
      </c>
      <c r="D78" s="225">
        <v>419</v>
      </c>
      <c r="E78" s="226"/>
      <c r="F78" s="226">
        <f t="shared" si="16"/>
        <v>57</v>
      </c>
      <c r="G78" s="225">
        <v>57</v>
      </c>
      <c r="H78" s="226"/>
    </row>
    <row r="79" s="207" customFormat="1" ht="15" customHeight="1" spans="1:8">
      <c r="A79" s="224" t="s">
        <v>90</v>
      </c>
      <c r="B79" s="225">
        <f t="shared" si="14"/>
        <v>417</v>
      </c>
      <c r="C79" s="226">
        <f t="shared" si="15"/>
        <v>351</v>
      </c>
      <c r="D79" s="225">
        <v>351</v>
      </c>
      <c r="E79" s="226"/>
      <c r="F79" s="226">
        <f t="shared" si="16"/>
        <v>66</v>
      </c>
      <c r="G79" s="225">
        <v>66</v>
      </c>
      <c r="H79" s="226"/>
    </row>
    <row r="80" s="207" customFormat="1" ht="15" customHeight="1" spans="1:8">
      <c r="A80" s="224" t="s">
        <v>91</v>
      </c>
      <c r="B80" s="225">
        <f t="shared" si="14"/>
        <v>306</v>
      </c>
      <c r="C80" s="226">
        <f t="shared" si="15"/>
        <v>269</v>
      </c>
      <c r="D80" s="225">
        <v>269</v>
      </c>
      <c r="E80" s="226"/>
      <c r="F80" s="226">
        <f t="shared" si="16"/>
        <v>37</v>
      </c>
      <c r="G80" s="225">
        <v>37</v>
      </c>
      <c r="H80" s="226"/>
    </row>
    <row r="81" s="211" customFormat="1" ht="23" customHeight="1" spans="1:233">
      <c r="A81" s="224" t="s">
        <v>92</v>
      </c>
      <c r="B81" s="225">
        <f t="shared" si="14"/>
        <v>447</v>
      </c>
      <c r="C81" s="226">
        <f t="shared" si="15"/>
        <v>388</v>
      </c>
      <c r="D81" s="225">
        <v>388</v>
      </c>
      <c r="E81" s="226"/>
      <c r="F81" s="226">
        <f t="shared" si="16"/>
        <v>59</v>
      </c>
      <c r="G81" s="225">
        <v>59</v>
      </c>
      <c r="H81" s="226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7"/>
      <c r="BY81" s="207"/>
      <c r="BZ81" s="207"/>
      <c r="CA81" s="207"/>
      <c r="CB81" s="207"/>
      <c r="CC81" s="207"/>
      <c r="CD81" s="207"/>
      <c r="CE81" s="207"/>
      <c r="CF81" s="207"/>
      <c r="CG81" s="207"/>
      <c r="CH81" s="207"/>
      <c r="CI81" s="207"/>
      <c r="CJ81" s="207"/>
      <c r="CK81" s="207"/>
      <c r="CL81" s="207"/>
      <c r="CM81" s="207"/>
      <c r="CN81" s="207"/>
      <c r="CO81" s="207"/>
      <c r="CP81" s="207"/>
      <c r="CQ81" s="207"/>
      <c r="CR81" s="207"/>
      <c r="CS81" s="207"/>
      <c r="CT81" s="207"/>
      <c r="CU81" s="207"/>
      <c r="CV81" s="207"/>
      <c r="CW81" s="207"/>
      <c r="CX81" s="207"/>
      <c r="CY81" s="207"/>
      <c r="CZ81" s="207"/>
      <c r="DA81" s="207"/>
      <c r="DB81" s="207"/>
      <c r="DC81" s="207"/>
      <c r="DD81" s="207"/>
      <c r="DE81" s="207"/>
      <c r="DF81" s="207"/>
      <c r="DG81" s="207"/>
      <c r="DH81" s="207"/>
      <c r="DI81" s="207"/>
      <c r="DJ81" s="207"/>
      <c r="DK81" s="207"/>
      <c r="DL81" s="207"/>
      <c r="DM81" s="207"/>
      <c r="DN81" s="207"/>
      <c r="DO81" s="207"/>
      <c r="DP81" s="207"/>
      <c r="DQ81" s="207"/>
      <c r="DR81" s="207"/>
      <c r="DS81" s="207"/>
      <c r="DT81" s="207"/>
      <c r="DU81" s="207"/>
      <c r="DV81" s="207"/>
      <c r="DW81" s="207"/>
      <c r="DX81" s="207"/>
      <c r="DY81" s="207"/>
      <c r="DZ81" s="207"/>
      <c r="EA81" s="207"/>
      <c r="EB81" s="207"/>
      <c r="EC81" s="207"/>
      <c r="ED81" s="207"/>
      <c r="EE81" s="207"/>
      <c r="EF81" s="207"/>
      <c r="EG81" s="207"/>
      <c r="EH81" s="207"/>
      <c r="EI81" s="207"/>
      <c r="EJ81" s="207"/>
      <c r="EK81" s="207"/>
      <c r="EL81" s="207"/>
      <c r="EM81" s="207"/>
      <c r="EN81" s="207"/>
      <c r="EO81" s="207"/>
      <c r="EP81" s="207"/>
      <c r="EQ81" s="207"/>
      <c r="ER81" s="207"/>
      <c r="ES81" s="207"/>
      <c r="ET81" s="207"/>
      <c r="EU81" s="207"/>
      <c r="EV81" s="207"/>
      <c r="EW81" s="207"/>
      <c r="EX81" s="207"/>
      <c r="EY81" s="207"/>
      <c r="EZ81" s="207"/>
      <c r="FA81" s="207"/>
      <c r="FB81" s="207"/>
      <c r="FC81" s="207"/>
      <c r="FD81" s="207"/>
      <c r="FE81" s="207"/>
      <c r="FF81" s="207"/>
      <c r="FG81" s="207"/>
      <c r="FH81" s="207"/>
      <c r="FI81" s="207"/>
      <c r="FJ81" s="207"/>
      <c r="FK81" s="207"/>
      <c r="FL81" s="207"/>
      <c r="FM81" s="207"/>
      <c r="FN81" s="207"/>
      <c r="FO81" s="207"/>
      <c r="FP81" s="207"/>
      <c r="FQ81" s="207"/>
      <c r="FR81" s="207"/>
      <c r="FS81" s="207"/>
      <c r="FT81" s="207"/>
      <c r="FU81" s="207"/>
      <c r="FV81" s="207"/>
      <c r="FW81" s="207"/>
      <c r="FX81" s="207"/>
      <c r="FY81" s="207"/>
      <c r="FZ81" s="207"/>
      <c r="GA81" s="207"/>
      <c r="GB81" s="207"/>
      <c r="GC81" s="207"/>
      <c r="GD81" s="207"/>
      <c r="GE81" s="207"/>
      <c r="GF81" s="207"/>
      <c r="GG81" s="207"/>
      <c r="GH81" s="207"/>
      <c r="GI81" s="207"/>
      <c r="GJ81" s="207"/>
      <c r="GK81" s="207"/>
      <c r="GL81" s="207"/>
      <c r="GM81" s="207"/>
      <c r="GN81" s="207"/>
      <c r="GO81" s="207"/>
      <c r="GP81" s="207"/>
      <c r="GQ81" s="207"/>
      <c r="GR81" s="207"/>
      <c r="GS81" s="207"/>
      <c r="GT81" s="207"/>
      <c r="GU81" s="207"/>
      <c r="GV81" s="207"/>
      <c r="GW81" s="207"/>
      <c r="GX81" s="207"/>
      <c r="GY81" s="207"/>
      <c r="GZ81" s="207"/>
      <c r="HA81" s="207"/>
      <c r="HB81" s="207"/>
      <c r="HC81" s="207"/>
      <c r="HD81" s="207"/>
      <c r="HE81" s="207"/>
      <c r="HF81" s="207"/>
      <c r="HG81" s="207"/>
      <c r="HH81" s="207"/>
      <c r="HI81" s="207"/>
      <c r="HJ81" s="207"/>
      <c r="HK81" s="207"/>
      <c r="HL81" s="207"/>
      <c r="HM81" s="207"/>
      <c r="HN81" s="207"/>
      <c r="HO81" s="207"/>
      <c r="HP81" s="207"/>
      <c r="HQ81" s="207"/>
      <c r="HR81" s="207"/>
      <c r="HS81" s="207"/>
      <c r="HT81" s="207"/>
      <c r="HU81" s="207"/>
      <c r="HV81" s="207"/>
      <c r="HW81" s="207"/>
      <c r="HX81" s="207"/>
      <c r="HY81" s="207"/>
    </row>
    <row r="82" s="211" customFormat="1" ht="15" customHeight="1" spans="1:233">
      <c r="A82" s="224" t="s">
        <v>93</v>
      </c>
      <c r="B82" s="225">
        <f t="shared" si="14"/>
        <v>359</v>
      </c>
      <c r="C82" s="226">
        <f t="shared" si="15"/>
        <v>311</v>
      </c>
      <c r="D82" s="225">
        <v>311</v>
      </c>
      <c r="E82" s="226"/>
      <c r="F82" s="226">
        <f t="shared" si="16"/>
        <v>48</v>
      </c>
      <c r="G82" s="225">
        <v>48</v>
      </c>
      <c r="H82" s="226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7"/>
      <c r="BY82" s="207"/>
      <c r="BZ82" s="207"/>
      <c r="CA82" s="207"/>
      <c r="CB82" s="207"/>
      <c r="CC82" s="207"/>
      <c r="CD82" s="207"/>
      <c r="CE82" s="207"/>
      <c r="CF82" s="207"/>
      <c r="CG82" s="207"/>
      <c r="CH82" s="207"/>
      <c r="CI82" s="207"/>
      <c r="CJ82" s="207"/>
      <c r="CK82" s="207"/>
      <c r="CL82" s="207"/>
      <c r="CM82" s="207"/>
      <c r="CN82" s="207"/>
      <c r="CO82" s="207"/>
      <c r="CP82" s="207"/>
      <c r="CQ82" s="207"/>
      <c r="CR82" s="207"/>
      <c r="CS82" s="207"/>
      <c r="CT82" s="207"/>
      <c r="CU82" s="207"/>
      <c r="CV82" s="207"/>
      <c r="CW82" s="207"/>
      <c r="CX82" s="207"/>
      <c r="CY82" s="207"/>
      <c r="CZ82" s="207"/>
      <c r="DA82" s="207"/>
      <c r="DB82" s="207"/>
      <c r="DC82" s="207"/>
      <c r="DD82" s="207"/>
      <c r="DE82" s="207"/>
      <c r="DF82" s="207"/>
      <c r="DG82" s="207"/>
      <c r="DH82" s="207"/>
      <c r="DI82" s="207"/>
      <c r="DJ82" s="207"/>
      <c r="DK82" s="207"/>
      <c r="DL82" s="207"/>
      <c r="DM82" s="207"/>
      <c r="DN82" s="207"/>
      <c r="DO82" s="207"/>
      <c r="DP82" s="207"/>
      <c r="DQ82" s="207"/>
      <c r="DR82" s="207"/>
      <c r="DS82" s="207"/>
      <c r="DT82" s="207"/>
      <c r="DU82" s="207"/>
      <c r="DV82" s="207"/>
      <c r="DW82" s="207"/>
      <c r="DX82" s="207"/>
      <c r="DY82" s="207"/>
      <c r="DZ82" s="207"/>
      <c r="EA82" s="207"/>
      <c r="EB82" s="207"/>
      <c r="EC82" s="207"/>
      <c r="ED82" s="207"/>
      <c r="EE82" s="207"/>
      <c r="EF82" s="207"/>
      <c r="EG82" s="207"/>
      <c r="EH82" s="207"/>
      <c r="EI82" s="207"/>
      <c r="EJ82" s="207"/>
      <c r="EK82" s="207"/>
      <c r="EL82" s="207"/>
      <c r="EM82" s="207"/>
      <c r="EN82" s="207"/>
      <c r="EO82" s="207"/>
      <c r="EP82" s="207"/>
      <c r="EQ82" s="207"/>
      <c r="ER82" s="207"/>
      <c r="ES82" s="207"/>
      <c r="ET82" s="207"/>
      <c r="EU82" s="207"/>
      <c r="EV82" s="207"/>
      <c r="EW82" s="207"/>
      <c r="EX82" s="207"/>
      <c r="EY82" s="207"/>
      <c r="EZ82" s="207"/>
      <c r="FA82" s="207"/>
      <c r="FB82" s="207"/>
      <c r="FC82" s="207"/>
      <c r="FD82" s="207"/>
      <c r="FE82" s="207"/>
      <c r="FF82" s="207"/>
      <c r="FG82" s="207"/>
      <c r="FH82" s="207"/>
      <c r="FI82" s="207"/>
      <c r="FJ82" s="207"/>
      <c r="FK82" s="207"/>
      <c r="FL82" s="207"/>
      <c r="FM82" s="207"/>
      <c r="FN82" s="207"/>
      <c r="FO82" s="207"/>
      <c r="FP82" s="207"/>
      <c r="FQ82" s="207"/>
      <c r="FR82" s="207"/>
      <c r="FS82" s="207"/>
      <c r="FT82" s="207"/>
      <c r="FU82" s="207"/>
      <c r="FV82" s="207"/>
      <c r="FW82" s="207"/>
      <c r="FX82" s="207"/>
      <c r="FY82" s="207"/>
      <c r="FZ82" s="207"/>
      <c r="GA82" s="207"/>
      <c r="GB82" s="207"/>
      <c r="GC82" s="207"/>
      <c r="GD82" s="207"/>
      <c r="GE82" s="207"/>
      <c r="GF82" s="207"/>
      <c r="GG82" s="207"/>
      <c r="GH82" s="207"/>
      <c r="GI82" s="207"/>
      <c r="GJ82" s="207"/>
      <c r="GK82" s="207"/>
      <c r="GL82" s="207"/>
      <c r="GM82" s="207"/>
      <c r="GN82" s="207"/>
      <c r="GO82" s="207"/>
      <c r="GP82" s="207"/>
      <c r="GQ82" s="207"/>
      <c r="GR82" s="207"/>
      <c r="GS82" s="207"/>
      <c r="GT82" s="207"/>
      <c r="GU82" s="207"/>
      <c r="GV82" s="207"/>
      <c r="GW82" s="207"/>
      <c r="GX82" s="207"/>
      <c r="GY82" s="207"/>
      <c r="GZ82" s="207"/>
      <c r="HA82" s="207"/>
      <c r="HB82" s="207"/>
      <c r="HC82" s="207"/>
      <c r="HD82" s="207"/>
      <c r="HE82" s="207"/>
      <c r="HF82" s="207"/>
      <c r="HG82" s="207"/>
      <c r="HH82" s="207"/>
      <c r="HI82" s="207"/>
      <c r="HJ82" s="207"/>
      <c r="HK82" s="207"/>
      <c r="HL82" s="207"/>
      <c r="HM82" s="207"/>
      <c r="HN82" s="207"/>
      <c r="HO82" s="207"/>
      <c r="HP82" s="207"/>
      <c r="HQ82" s="207"/>
      <c r="HR82" s="207"/>
      <c r="HS82" s="207"/>
      <c r="HT82" s="207"/>
      <c r="HU82" s="207"/>
      <c r="HV82" s="207"/>
      <c r="HW82" s="207"/>
      <c r="HX82" s="207"/>
      <c r="HY82" s="207"/>
    </row>
    <row r="83" s="212" customFormat="1" ht="15" customHeight="1" spans="1:8">
      <c r="A83" s="224" t="s">
        <v>94</v>
      </c>
      <c r="B83" s="225">
        <f t="shared" si="14"/>
        <v>184</v>
      </c>
      <c r="C83" s="226">
        <f t="shared" si="15"/>
        <v>157</v>
      </c>
      <c r="D83" s="225">
        <v>157</v>
      </c>
      <c r="E83" s="226"/>
      <c r="F83" s="226">
        <f t="shared" si="16"/>
        <v>27</v>
      </c>
      <c r="G83" s="225">
        <v>27</v>
      </c>
      <c r="H83" s="226"/>
    </row>
    <row r="84" s="213" customFormat="1" ht="15" customHeight="1" spans="1:233">
      <c r="A84" s="224" t="s">
        <v>95</v>
      </c>
      <c r="B84" s="225">
        <f t="shared" si="14"/>
        <v>266</v>
      </c>
      <c r="C84" s="226">
        <f t="shared" si="15"/>
        <v>231</v>
      </c>
      <c r="D84" s="225">
        <v>231</v>
      </c>
      <c r="E84" s="227"/>
      <c r="F84" s="226">
        <f t="shared" si="16"/>
        <v>35</v>
      </c>
      <c r="G84" s="225">
        <v>35</v>
      </c>
      <c r="H84" s="227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2"/>
      <c r="BN84" s="212"/>
      <c r="BO84" s="212"/>
      <c r="BP84" s="212"/>
      <c r="BQ84" s="212"/>
      <c r="BR84" s="212"/>
      <c r="BS84" s="212"/>
      <c r="BT84" s="212"/>
      <c r="BU84" s="212"/>
      <c r="BV84" s="212"/>
      <c r="BW84" s="212"/>
      <c r="BX84" s="212"/>
      <c r="BY84" s="212"/>
      <c r="BZ84" s="212"/>
      <c r="CA84" s="212"/>
      <c r="CB84" s="212"/>
      <c r="CC84" s="212"/>
      <c r="CD84" s="212"/>
      <c r="CE84" s="212"/>
      <c r="CF84" s="212"/>
      <c r="CG84" s="212"/>
      <c r="CH84" s="212"/>
      <c r="CI84" s="212"/>
      <c r="CJ84" s="212"/>
      <c r="CK84" s="212"/>
      <c r="CL84" s="212"/>
      <c r="CM84" s="212"/>
      <c r="CN84" s="212"/>
      <c r="CO84" s="212"/>
      <c r="CP84" s="212"/>
      <c r="CQ84" s="212"/>
      <c r="CR84" s="212"/>
      <c r="CS84" s="212"/>
      <c r="CT84" s="212"/>
      <c r="CU84" s="212"/>
      <c r="CV84" s="212"/>
      <c r="CW84" s="212"/>
      <c r="CX84" s="212"/>
      <c r="CY84" s="212"/>
      <c r="CZ84" s="212"/>
      <c r="DA84" s="212"/>
      <c r="DB84" s="212"/>
      <c r="DC84" s="212"/>
      <c r="DD84" s="212"/>
      <c r="DE84" s="212"/>
      <c r="DF84" s="212"/>
      <c r="DG84" s="212"/>
      <c r="DH84" s="212"/>
      <c r="DI84" s="212"/>
      <c r="DJ84" s="212"/>
      <c r="DK84" s="212"/>
      <c r="DL84" s="212"/>
      <c r="DM84" s="212"/>
      <c r="DN84" s="212"/>
      <c r="DO84" s="212"/>
      <c r="DP84" s="212"/>
      <c r="DQ84" s="212"/>
      <c r="DR84" s="212"/>
      <c r="DS84" s="212"/>
      <c r="DT84" s="212"/>
      <c r="DU84" s="212"/>
      <c r="DV84" s="212"/>
      <c r="DW84" s="212"/>
      <c r="DX84" s="212"/>
      <c r="DY84" s="212"/>
      <c r="DZ84" s="212"/>
      <c r="EA84" s="212"/>
      <c r="EB84" s="212"/>
      <c r="EC84" s="212"/>
      <c r="ED84" s="212"/>
      <c r="EE84" s="212"/>
      <c r="EF84" s="212"/>
      <c r="EG84" s="212"/>
      <c r="EH84" s="212"/>
      <c r="EI84" s="212"/>
      <c r="EJ84" s="212"/>
      <c r="EK84" s="212"/>
      <c r="EL84" s="212"/>
      <c r="EM84" s="212"/>
      <c r="EN84" s="212"/>
      <c r="EO84" s="212"/>
      <c r="EP84" s="212"/>
      <c r="EQ84" s="212"/>
      <c r="ER84" s="212"/>
      <c r="ES84" s="212"/>
      <c r="ET84" s="212"/>
      <c r="EU84" s="212"/>
      <c r="EV84" s="212"/>
      <c r="EW84" s="212"/>
      <c r="EX84" s="212"/>
      <c r="EY84" s="212"/>
      <c r="EZ84" s="212"/>
      <c r="FA84" s="212"/>
      <c r="FB84" s="212"/>
      <c r="FC84" s="212"/>
      <c r="FD84" s="212"/>
      <c r="FE84" s="212"/>
      <c r="FF84" s="212"/>
      <c r="FG84" s="212"/>
      <c r="FH84" s="212"/>
      <c r="FI84" s="212"/>
      <c r="FJ84" s="212"/>
      <c r="FK84" s="212"/>
      <c r="FL84" s="212"/>
      <c r="FM84" s="212"/>
      <c r="FN84" s="212"/>
      <c r="FO84" s="212"/>
      <c r="FP84" s="212"/>
      <c r="FQ84" s="212"/>
      <c r="FR84" s="212"/>
      <c r="FS84" s="212"/>
      <c r="FT84" s="212"/>
      <c r="FU84" s="212"/>
      <c r="FV84" s="212"/>
      <c r="FW84" s="212"/>
      <c r="FX84" s="212"/>
      <c r="FY84" s="212"/>
      <c r="FZ84" s="212"/>
      <c r="GA84" s="212"/>
      <c r="GB84" s="212"/>
      <c r="GC84" s="212"/>
      <c r="GD84" s="212"/>
      <c r="GE84" s="212"/>
      <c r="GF84" s="212"/>
      <c r="GG84" s="212"/>
      <c r="GH84" s="212"/>
      <c r="GI84" s="212"/>
      <c r="GJ84" s="212"/>
      <c r="GK84" s="212"/>
      <c r="GL84" s="212"/>
      <c r="GM84" s="212"/>
      <c r="GN84" s="212"/>
      <c r="GO84" s="212"/>
      <c r="GP84" s="212"/>
      <c r="GQ84" s="212"/>
      <c r="GR84" s="212"/>
      <c r="GS84" s="212"/>
      <c r="GT84" s="212"/>
      <c r="GU84" s="212"/>
      <c r="GV84" s="212"/>
      <c r="GW84" s="212"/>
      <c r="GX84" s="212"/>
      <c r="GY84" s="212"/>
      <c r="GZ84" s="212"/>
      <c r="HA84" s="212"/>
      <c r="HB84" s="212"/>
      <c r="HC84" s="212"/>
      <c r="HD84" s="212"/>
      <c r="HE84" s="212"/>
      <c r="HF84" s="212"/>
      <c r="HG84" s="212"/>
      <c r="HH84" s="212"/>
      <c r="HI84" s="212"/>
      <c r="HJ84" s="212"/>
      <c r="HK84" s="212"/>
      <c r="HL84" s="212"/>
      <c r="HM84" s="212"/>
      <c r="HN84" s="212"/>
      <c r="HO84" s="212"/>
      <c r="HP84" s="212"/>
      <c r="HQ84" s="212"/>
      <c r="HR84" s="212"/>
      <c r="HS84" s="212"/>
      <c r="HT84" s="212"/>
      <c r="HU84" s="212"/>
      <c r="HV84" s="212"/>
      <c r="HW84" s="212"/>
      <c r="HX84" s="212"/>
      <c r="HY84" s="212"/>
    </row>
    <row r="85" s="211" customFormat="1" ht="15" customHeight="1" spans="1:233">
      <c r="A85" s="222" t="s">
        <v>96</v>
      </c>
      <c r="B85" s="223">
        <f>SUM(B86:B95)</f>
        <v>4181</v>
      </c>
      <c r="C85" s="223">
        <f t="shared" ref="C85:H85" si="18">SUM(C86:C95)</f>
        <v>3563</v>
      </c>
      <c r="D85" s="223">
        <f t="shared" si="18"/>
        <v>3252</v>
      </c>
      <c r="E85" s="223">
        <f t="shared" si="18"/>
        <v>311</v>
      </c>
      <c r="F85" s="223">
        <f t="shared" si="18"/>
        <v>618</v>
      </c>
      <c r="G85" s="223">
        <f t="shared" si="18"/>
        <v>576</v>
      </c>
      <c r="H85" s="223">
        <f t="shared" si="18"/>
        <v>42</v>
      </c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  <c r="CB85" s="207"/>
      <c r="CC85" s="207"/>
      <c r="CD85" s="207"/>
      <c r="CE85" s="207"/>
      <c r="CF85" s="207"/>
      <c r="CG85" s="207"/>
      <c r="CH85" s="207"/>
      <c r="CI85" s="207"/>
      <c r="CJ85" s="207"/>
      <c r="CK85" s="207"/>
      <c r="CL85" s="207"/>
      <c r="CM85" s="207"/>
      <c r="CN85" s="207"/>
      <c r="CO85" s="207"/>
      <c r="CP85" s="207"/>
      <c r="CQ85" s="207"/>
      <c r="CR85" s="207"/>
      <c r="CS85" s="207"/>
      <c r="CT85" s="207"/>
      <c r="CU85" s="207"/>
      <c r="CV85" s="207"/>
      <c r="CW85" s="207"/>
      <c r="CX85" s="207"/>
      <c r="CY85" s="207"/>
      <c r="CZ85" s="207"/>
      <c r="DA85" s="207"/>
      <c r="DB85" s="207"/>
      <c r="DC85" s="207"/>
      <c r="DD85" s="207"/>
      <c r="DE85" s="207"/>
      <c r="DF85" s="207"/>
      <c r="DG85" s="207"/>
      <c r="DH85" s="207"/>
      <c r="DI85" s="207"/>
      <c r="DJ85" s="207"/>
      <c r="DK85" s="207"/>
      <c r="DL85" s="207"/>
      <c r="DM85" s="207"/>
      <c r="DN85" s="207"/>
      <c r="DO85" s="207"/>
      <c r="DP85" s="207"/>
      <c r="DQ85" s="207"/>
      <c r="DR85" s="207"/>
      <c r="DS85" s="207"/>
      <c r="DT85" s="207"/>
      <c r="DU85" s="207"/>
      <c r="DV85" s="207"/>
      <c r="DW85" s="207"/>
      <c r="DX85" s="207"/>
      <c r="DY85" s="207"/>
      <c r="DZ85" s="207"/>
      <c r="EA85" s="207"/>
      <c r="EB85" s="207"/>
      <c r="EC85" s="207"/>
      <c r="ED85" s="207"/>
      <c r="EE85" s="207"/>
      <c r="EF85" s="207"/>
      <c r="EG85" s="207"/>
      <c r="EH85" s="207"/>
      <c r="EI85" s="207"/>
      <c r="EJ85" s="207"/>
      <c r="EK85" s="207"/>
      <c r="EL85" s="207"/>
      <c r="EM85" s="207"/>
      <c r="EN85" s="207"/>
      <c r="EO85" s="207"/>
      <c r="EP85" s="207"/>
      <c r="EQ85" s="207"/>
      <c r="ER85" s="207"/>
      <c r="ES85" s="207"/>
      <c r="ET85" s="207"/>
      <c r="EU85" s="207"/>
      <c r="EV85" s="207"/>
      <c r="EW85" s="207"/>
      <c r="EX85" s="207"/>
      <c r="EY85" s="207"/>
      <c r="EZ85" s="207"/>
      <c r="FA85" s="207"/>
      <c r="FB85" s="207"/>
      <c r="FC85" s="207"/>
      <c r="FD85" s="207"/>
      <c r="FE85" s="207"/>
      <c r="FF85" s="207"/>
      <c r="FG85" s="207"/>
      <c r="FH85" s="207"/>
      <c r="FI85" s="207"/>
      <c r="FJ85" s="207"/>
      <c r="FK85" s="207"/>
      <c r="FL85" s="207"/>
      <c r="FM85" s="207"/>
      <c r="FN85" s="207"/>
      <c r="FO85" s="207"/>
      <c r="FP85" s="207"/>
      <c r="FQ85" s="207"/>
      <c r="FR85" s="207"/>
      <c r="FS85" s="207"/>
      <c r="FT85" s="207"/>
      <c r="FU85" s="207"/>
      <c r="FV85" s="207"/>
      <c r="FW85" s="207"/>
      <c r="FX85" s="207"/>
      <c r="FY85" s="207"/>
      <c r="FZ85" s="207"/>
      <c r="GA85" s="207"/>
      <c r="GB85" s="207"/>
      <c r="GC85" s="207"/>
      <c r="GD85" s="207"/>
      <c r="GE85" s="207"/>
      <c r="GF85" s="207"/>
      <c r="GG85" s="207"/>
      <c r="GH85" s="207"/>
      <c r="GI85" s="207"/>
      <c r="GJ85" s="207"/>
      <c r="GK85" s="207"/>
      <c r="GL85" s="207"/>
      <c r="GM85" s="207"/>
      <c r="GN85" s="207"/>
      <c r="GO85" s="207"/>
      <c r="GP85" s="207"/>
      <c r="GQ85" s="207"/>
      <c r="GR85" s="207"/>
      <c r="GS85" s="207"/>
      <c r="GT85" s="207"/>
      <c r="GU85" s="207"/>
      <c r="GV85" s="207"/>
      <c r="GW85" s="207"/>
      <c r="GX85" s="207"/>
      <c r="GY85" s="207"/>
      <c r="GZ85" s="207"/>
      <c r="HA85" s="207"/>
      <c r="HB85" s="207"/>
      <c r="HC85" s="207"/>
      <c r="HD85" s="207"/>
      <c r="HE85" s="207"/>
      <c r="HF85" s="207"/>
      <c r="HG85" s="207"/>
      <c r="HH85" s="207"/>
      <c r="HI85" s="207"/>
      <c r="HJ85" s="207"/>
      <c r="HK85" s="207"/>
      <c r="HL85" s="207"/>
      <c r="HM85" s="207"/>
      <c r="HN85" s="207"/>
      <c r="HO85" s="207"/>
      <c r="HP85" s="207"/>
      <c r="HQ85" s="207"/>
      <c r="HR85" s="207"/>
      <c r="HS85" s="207"/>
      <c r="HT85" s="207"/>
      <c r="HU85" s="207"/>
      <c r="HV85" s="207"/>
      <c r="HW85" s="207"/>
      <c r="HX85" s="207"/>
      <c r="HY85" s="207"/>
    </row>
    <row r="86" s="211" customFormat="1" ht="15" customHeight="1" spans="1:233">
      <c r="A86" s="224" t="s">
        <v>97</v>
      </c>
      <c r="B86" s="225">
        <f t="shared" si="14"/>
        <v>467</v>
      </c>
      <c r="C86" s="226">
        <f t="shared" si="15"/>
        <v>428</v>
      </c>
      <c r="D86" s="225">
        <v>158</v>
      </c>
      <c r="E86" s="226">
        <v>270</v>
      </c>
      <c r="F86" s="226">
        <f t="shared" si="16"/>
        <v>39</v>
      </c>
      <c r="G86" s="225">
        <v>0</v>
      </c>
      <c r="H86" s="226">
        <v>39</v>
      </c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07"/>
      <c r="BN86" s="207"/>
      <c r="BO86" s="207"/>
      <c r="BP86" s="207"/>
      <c r="BQ86" s="207"/>
      <c r="BR86" s="207"/>
      <c r="BS86" s="207"/>
      <c r="BT86" s="207"/>
      <c r="BU86" s="207"/>
      <c r="BV86" s="207"/>
      <c r="BW86" s="207"/>
      <c r="BX86" s="207"/>
      <c r="BY86" s="207"/>
      <c r="BZ86" s="207"/>
      <c r="CA86" s="207"/>
      <c r="CB86" s="207"/>
      <c r="CC86" s="207"/>
      <c r="CD86" s="207"/>
      <c r="CE86" s="207"/>
      <c r="CF86" s="207"/>
      <c r="CG86" s="207"/>
      <c r="CH86" s="207"/>
      <c r="CI86" s="207"/>
      <c r="CJ86" s="207"/>
      <c r="CK86" s="207"/>
      <c r="CL86" s="207"/>
      <c r="CM86" s="207"/>
      <c r="CN86" s="207"/>
      <c r="CO86" s="207"/>
      <c r="CP86" s="207"/>
      <c r="CQ86" s="207"/>
      <c r="CR86" s="207"/>
      <c r="CS86" s="207"/>
      <c r="CT86" s="207"/>
      <c r="CU86" s="207"/>
      <c r="CV86" s="207"/>
      <c r="CW86" s="207"/>
      <c r="CX86" s="207"/>
      <c r="CY86" s="207"/>
      <c r="CZ86" s="207"/>
      <c r="DA86" s="207"/>
      <c r="DB86" s="207"/>
      <c r="DC86" s="207"/>
      <c r="DD86" s="207"/>
      <c r="DE86" s="207"/>
      <c r="DF86" s="207"/>
      <c r="DG86" s="207"/>
      <c r="DH86" s="207"/>
      <c r="DI86" s="207"/>
      <c r="DJ86" s="207"/>
      <c r="DK86" s="207"/>
      <c r="DL86" s="207"/>
      <c r="DM86" s="207"/>
      <c r="DN86" s="207"/>
      <c r="DO86" s="207"/>
      <c r="DP86" s="207"/>
      <c r="DQ86" s="207"/>
      <c r="DR86" s="207"/>
      <c r="DS86" s="207"/>
      <c r="DT86" s="207"/>
      <c r="DU86" s="207"/>
      <c r="DV86" s="207"/>
      <c r="DW86" s="207"/>
      <c r="DX86" s="207"/>
      <c r="DY86" s="207"/>
      <c r="DZ86" s="207"/>
      <c r="EA86" s="207"/>
      <c r="EB86" s="207"/>
      <c r="EC86" s="207"/>
      <c r="ED86" s="207"/>
      <c r="EE86" s="207"/>
      <c r="EF86" s="207"/>
      <c r="EG86" s="207"/>
      <c r="EH86" s="207"/>
      <c r="EI86" s="207"/>
      <c r="EJ86" s="207"/>
      <c r="EK86" s="207"/>
      <c r="EL86" s="207"/>
      <c r="EM86" s="207"/>
      <c r="EN86" s="207"/>
      <c r="EO86" s="207"/>
      <c r="EP86" s="207"/>
      <c r="EQ86" s="207"/>
      <c r="ER86" s="207"/>
      <c r="ES86" s="207"/>
      <c r="ET86" s="207"/>
      <c r="EU86" s="207"/>
      <c r="EV86" s="207"/>
      <c r="EW86" s="207"/>
      <c r="EX86" s="207"/>
      <c r="EY86" s="207"/>
      <c r="EZ86" s="207"/>
      <c r="FA86" s="207"/>
      <c r="FB86" s="207"/>
      <c r="FC86" s="207"/>
      <c r="FD86" s="207"/>
      <c r="FE86" s="207"/>
      <c r="FF86" s="207"/>
      <c r="FG86" s="207"/>
      <c r="FH86" s="207"/>
      <c r="FI86" s="207"/>
      <c r="FJ86" s="207"/>
      <c r="FK86" s="207"/>
      <c r="FL86" s="207"/>
      <c r="FM86" s="207"/>
      <c r="FN86" s="207"/>
      <c r="FO86" s="207"/>
      <c r="FP86" s="207"/>
      <c r="FQ86" s="207"/>
      <c r="FR86" s="207"/>
      <c r="FS86" s="207"/>
      <c r="FT86" s="207"/>
      <c r="FU86" s="207"/>
      <c r="FV86" s="207"/>
      <c r="FW86" s="207"/>
      <c r="FX86" s="207"/>
      <c r="FY86" s="207"/>
      <c r="FZ86" s="207"/>
      <c r="GA86" s="207"/>
      <c r="GB86" s="207"/>
      <c r="GC86" s="207"/>
      <c r="GD86" s="207"/>
      <c r="GE86" s="207"/>
      <c r="GF86" s="207"/>
      <c r="GG86" s="207"/>
      <c r="GH86" s="207"/>
      <c r="GI86" s="207"/>
      <c r="GJ86" s="207"/>
      <c r="GK86" s="207"/>
      <c r="GL86" s="207"/>
      <c r="GM86" s="207"/>
      <c r="GN86" s="207"/>
      <c r="GO86" s="207"/>
      <c r="GP86" s="207"/>
      <c r="GQ86" s="207"/>
      <c r="GR86" s="207"/>
      <c r="GS86" s="207"/>
      <c r="GT86" s="207"/>
      <c r="GU86" s="207"/>
      <c r="GV86" s="207"/>
      <c r="GW86" s="207"/>
      <c r="GX86" s="207"/>
      <c r="GY86" s="207"/>
      <c r="GZ86" s="207"/>
      <c r="HA86" s="207"/>
      <c r="HB86" s="207"/>
      <c r="HC86" s="207"/>
      <c r="HD86" s="207"/>
      <c r="HE86" s="207"/>
      <c r="HF86" s="207"/>
      <c r="HG86" s="207"/>
      <c r="HH86" s="207"/>
      <c r="HI86" s="207"/>
      <c r="HJ86" s="207"/>
      <c r="HK86" s="207"/>
      <c r="HL86" s="207"/>
      <c r="HM86" s="207"/>
      <c r="HN86" s="207"/>
      <c r="HO86" s="207"/>
      <c r="HP86" s="207"/>
      <c r="HQ86" s="207"/>
      <c r="HR86" s="207"/>
      <c r="HS86" s="207"/>
      <c r="HT86" s="207"/>
      <c r="HU86" s="207"/>
      <c r="HV86" s="207"/>
      <c r="HW86" s="207"/>
      <c r="HX86" s="207"/>
      <c r="HY86" s="207"/>
    </row>
    <row r="87" s="211" customFormat="1" ht="15" customHeight="1" spans="1:233">
      <c r="A87" s="224" t="s">
        <v>98</v>
      </c>
      <c r="B87" s="225">
        <f t="shared" si="14"/>
        <v>186</v>
      </c>
      <c r="C87" s="226">
        <f t="shared" si="15"/>
        <v>165</v>
      </c>
      <c r="D87" s="225">
        <v>165</v>
      </c>
      <c r="E87" s="226"/>
      <c r="F87" s="226">
        <f t="shared" si="16"/>
        <v>21</v>
      </c>
      <c r="G87" s="225">
        <v>21</v>
      </c>
      <c r="H87" s="226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207"/>
      <c r="BN87" s="207"/>
      <c r="BO87" s="207"/>
      <c r="BP87" s="207"/>
      <c r="BQ87" s="207"/>
      <c r="BR87" s="207"/>
      <c r="BS87" s="207"/>
      <c r="BT87" s="207"/>
      <c r="BU87" s="207"/>
      <c r="BV87" s="207"/>
      <c r="BW87" s="207"/>
      <c r="BX87" s="207"/>
      <c r="BY87" s="207"/>
      <c r="BZ87" s="207"/>
      <c r="CA87" s="207"/>
      <c r="CB87" s="207"/>
      <c r="CC87" s="207"/>
      <c r="CD87" s="207"/>
      <c r="CE87" s="207"/>
      <c r="CF87" s="207"/>
      <c r="CG87" s="207"/>
      <c r="CH87" s="207"/>
      <c r="CI87" s="207"/>
      <c r="CJ87" s="207"/>
      <c r="CK87" s="207"/>
      <c r="CL87" s="207"/>
      <c r="CM87" s="207"/>
      <c r="CN87" s="207"/>
      <c r="CO87" s="207"/>
      <c r="CP87" s="207"/>
      <c r="CQ87" s="207"/>
      <c r="CR87" s="207"/>
      <c r="CS87" s="207"/>
      <c r="CT87" s="207"/>
      <c r="CU87" s="207"/>
      <c r="CV87" s="207"/>
      <c r="CW87" s="207"/>
      <c r="CX87" s="207"/>
      <c r="CY87" s="207"/>
      <c r="CZ87" s="207"/>
      <c r="DA87" s="207"/>
      <c r="DB87" s="207"/>
      <c r="DC87" s="207"/>
      <c r="DD87" s="207"/>
      <c r="DE87" s="207"/>
      <c r="DF87" s="207"/>
      <c r="DG87" s="207"/>
      <c r="DH87" s="207"/>
      <c r="DI87" s="207"/>
      <c r="DJ87" s="207"/>
      <c r="DK87" s="207"/>
      <c r="DL87" s="207"/>
      <c r="DM87" s="207"/>
      <c r="DN87" s="207"/>
      <c r="DO87" s="207"/>
      <c r="DP87" s="207"/>
      <c r="DQ87" s="207"/>
      <c r="DR87" s="207"/>
      <c r="DS87" s="207"/>
      <c r="DT87" s="207"/>
      <c r="DU87" s="207"/>
      <c r="DV87" s="207"/>
      <c r="DW87" s="207"/>
      <c r="DX87" s="207"/>
      <c r="DY87" s="207"/>
      <c r="DZ87" s="207"/>
      <c r="EA87" s="207"/>
      <c r="EB87" s="207"/>
      <c r="EC87" s="207"/>
      <c r="ED87" s="207"/>
      <c r="EE87" s="207"/>
      <c r="EF87" s="207"/>
      <c r="EG87" s="207"/>
      <c r="EH87" s="207"/>
      <c r="EI87" s="207"/>
      <c r="EJ87" s="207"/>
      <c r="EK87" s="207"/>
      <c r="EL87" s="207"/>
      <c r="EM87" s="207"/>
      <c r="EN87" s="207"/>
      <c r="EO87" s="207"/>
      <c r="EP87" s="207"/>
      <c r="EQ87" s="207"/>
      <c r="ER87" s="207"/>
      <c r="ES87" s="207"/>
      <c r="ET87" s="207"/>
      <c r="EU87" s="207"/>
      <c r="EV87" s="207"/>
      <c r="EW87" s="207"/>
      <c r="EX87" s="207"/>
      <c r="EY87" s="207"/>
      <c r="EZ87" s="207"/>
      <c r="FA87" s="207"/>
      <c r="FB87" s="207"/>
      <c r="FC87" s="207"/>
      <c r="FD87" s="207"/>
      <c r="FE87" s="207"/>
      <c r="FF87" s="207"/>
      <c r="FG87" s="207"/>
      <c r="FH87" s="207"/>
      <c r="FI87" s="207"/>
      <c r="FJ87" s="207"/>
      <c r="FK87" s="207"/>
      <c r="FL87" s="207"/>
      <c r="FM87" s="207"/>
      <c r="FN87" s="207"/>
      <c r="FO87" s="207"/>
      <c r="FP87" s="207"/>
      <c r="FQ87" s="207"/>
      <c r="FR87" s="207"/>
      <c r="FS87" s="207"/>
      <c r="FT87" s="207"/>
      <c r="FU87" s="207"/>
      <c r="FV87" s="207"/>
      <c r="FW87" s="207"/>
      <c r="FX87" s="207"/>
      <c r="FY87" s="207"/>
      <c r="FZ87" s="207"/>
      <c r="GA87" s="207"/>
      <c r="GB87" s="207"/>
      <c r="GC87" s="207"/>
      <c r="GD87" s="207"/>
      <c r="GE87" s="207"/>
      <c r="GF87" s="207"/>
      <c r="GG87" s="207"/>
      <c r="GH87" s="207"/>
      <c r="GI87" s="207"/>
      <c r="GJ87" s="207"/>
      <c r="GK87" s="207"/>
      <c r="GL87" s="207"/>
      <c r="GM87" s="207"/>
      <c r="GN87" s="207"/>
      <c r="GO87" s="207"/>
      <c r="GP87" s="207"/>
      <c r="GQ87" s="207"/>
      <c r="GR87" s="207"/>
      <c r="GS87" s="207"/>
      <c r="GT87" s="207"/>
      <c r="GU87" s="207"/>
      <c r="GV87" s="207"/>
      <c r="GW87" s="207"/>
      <c r="GX87" s="207"/>
      <c r="GY87" s="207"/>
      <c r="GZ87" s="207"/>
      <c r="HA87" s="207"/>
      <c r="HB87" s="207"/>
      <c r="HC87" s="207"/>
      <c r="HD87" s="207"/>
      <c r="HE87" s="207"/>
      <c r="HF87" s="207"/>
      <c r="HG87" s="207"/>
      <c r="HH87" s="207"/>
      <c r="HI87" s="207"/>
      <c r="HJ87" s="207"/>
      <c r="HK87" s="207"/>
      <c r="HL87" s="207"/>
      <c r="HM87" s="207"/>
      <c r="HN87" s="207"/>
      <c r="HO87" s="207"/>
      <c r="HP87" s="207"/>
      <c r="HQ87" s="207"/>
      <c r="HR87" s="207"/>
      <c r="HS87" s="207"/>
      <c r="HT87" s="207"/>
      <c r="HU87" s="207"/>
      <c r="HV87" s="207"/>
      <c r="HW87" s="207"/>
      <c r="HX87" s="207"/>
      <c r="HY87" s="207"/>
    </row>
    <row r="88" s="211" customFormat="1" ht="15" customHeight="1" spans="1:233">
      <c r="A88" s="224" t="s">
        <v>99</v>
      </c>
      <c r="B88" s="225">
        <f t="shared" si="14"/>
        <v>418</v>
      </c>
      <c r="C88" s="226">
        <f t="shared" si="15"/>
        <v>371</v>
      </c>
      <c r="D88" s="225">
        <v>371</v>
      </c>
      <c r="E88" s="226"/>
      <c r="F88" s="226">
        <f t="shared" si="16"/>
        <v>47</v>
      </c>
      <c r="G88" s="225">
        <v>47</v>
      </c>
      <c r="H88" s="226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  <c r="BI88" s="207"/>
      <c r="BJ88" s="207"/>
      <c r="BK88" s="207"/>
      <c r="BL88" s="207"/>
      <c r="BM88" s="207"/>
      <c r="BN88" s="207"/>
      <c r="BO88" s="207"/>
      <c r="BP88" s="207"/>
      <c r="BQ88" s="207"/>
      <c r="BR88" s="207"/>
      <c r="BS88" s="207"/>
      <c r="BT88" s="207"/>
      <c r="BU88" s="207"/>
      <c r="BV88" s="207"/>
      <c r="BW88" s="207"/>
      <c r="BX88" s="207"/>
      <c r="BY88" s="207"/>
      <c r="BZ88" s="207"/>
      <c r="CA88" s="207"/>
      <c r="CB88" s="207"/>
      <c r="CC88" s="207"/>
      <c r="CD88" s="207"/>
      <c r="CE88" s="207"/>
      <c r="CF88" s="207"/>
      <c r="CG88" s="207"/>
      <c r="CH88" s="207"/>
      <c r="CI88" s="207"/>
      <c r="CJ88" s="207"/>
      <c r="CK88" s="207"/>
      <c r="CL88" s="207"/>
      <c r="CM88" s="207"/>
      <c r="CN88" s="207"/>
      <c r="CO88" s="207"/>
      <c r="CP88" s="207"/>
      <c r="CQ88" s="207"/>
      <c r="CR88" s="207"/>
      <c r="CS88" s="207"/>
      <c r="CT88" s="207"/>
      <c r="CU88" s="207"/>
      <c r="CV88" s="207"/>
      <c r="CW88" s="207"/>
      <c r="CX88" s="207"/>
      <c r="CY88" s="207"/>
      <c r="CZ88" s="207"/>
      <c r="DA88" s="207"/>
      <c r="DB88" s="207"/>
      <c r="DC88" s="207"/>
      <c r="DD88" s="207"/>
      <c r="DE88" s="207"/>
      <c r="DF88" s="207"/>
      <c r="DG88" s="207"/>
      <c r="DH88" s="207"/>
      <c r="DI88" s="207"/>
      <c r="DJ88" s="207"/>
      <c r="DK88" s="207"/>
      <c r="DL88" s="207"/>
      <c r="DM88" s="207"/>
      <c r="DN88" s="207"/>
      <c r="DO88" s="207"/>
      <c r="DP88" s="207"/>
      <c r="DQ88" s="207"/>
      <c r="DR88" s="207"/>
      <c r="DS88" s="207"/>
      <c r="DT88" s="207"/>
      <c r="DU88" s="207"/>
      <c r="DV88" s="207"/>
      <c r="DW88" s="207"/>
      <c r="DX88" s="207"/>
      <c r="DY88" s="207"/>
      <c r="DZ88" s="207"/>
      <c r="EA88" s="207"/>
      <c r="EB88" s="207"/>
      <c r="EC88" s="207"/>
      <c r="ED88" s="207"/>
      <c r="EE88" s="207"/>
      <c r="EF88" s="207"/>
      <c r="EG88" s="207"/>
      <c r="EH88" s="207"/>
      <c r="EI88" s="207"/>
      <c r="EJ88" s="207"/>
      <c r="EK88" s="207"/>
      <c r="EL88" s="207"/>
      <c r="EM88" s="207"/>
      <c r="EN88" s="207"/>
      <c r="EO88" s="207"/>
      <c r="EP88" s="207"/>
      <c r="EQ88" s="207"/>
      <c r="ER88" s="207"/>
      <c r="ES88" s="207"/>
      <c r="ET88" s="207"/>
      <c r="EU88" s="207"/>
      <c r="EV88" s="207"/>
      <c r="EW88" s="207"/>
      <c r="EX88" s="207"/>
      <c r="EY88" s="207"/>
      <c r="EZ88" s="207"/>
      <c r="FA88" s="207"/>
      <c r="FB88" s="207"/>
      <c r="FC88" s="207"/>
      <c r="FD88" s="207"/>
      <c r="FE88" s="207"/>
      <c r="FF88" s="207"/>
      <c r="FG88" s="207"/>
      <c r="FH88" s="207"/>
      <c r="FI88" s="207"/>
      <c r="FJ88" s="207"/>
      <c r="FK88" s="207"/>
      <c r="FL88" s="207"/>
      <c r="FM88" s="207"/>
      <c r="FN88" s="207"/>
      <c r="FO88" s="207"/>
      <c r="FP88" s="207"/>
      <c r="FQ88" s="207"/>
      <c r="FR88" s="207"/>
      <c r="FS88" s="207"/>
      <c r="FT88" s="207"/>
      <c r="FU88" s="207"/>
      <c r="FV88" s="207"/>
      <c r="FW88" s="207"/>
      <c r="FX88" s="207"/>
      <c r="FY88" s="207"/>
      <c r="FZ88" s="207"/>
      <c r="GA88" s="207"/>
      <c r="GB88" s="207"/>
      <c r="GC88" s="207"/>
      <c r="GD88" s="207"/>
      <c r="GE88" s="207"/>
      <c r="GF88" s="207"/>
      <c r="GG88" s="207"/>
      <c r="GH88" s="207"/>
      <c r="GI88" s="207"/>
      <c r="GJ88" s="207"/>
      <c r="GK88" s="207"/>
      <c r="GL88" s="207"/>
      <c r="GM88" s="207"/>
      <c r="GN88" s="207"/>
      <c r="GO88" s="207"/>
      <c r="GP88" s="207"/>
      <c r="GQ88" s="207"/>
      <c r="GR88" s="207"/>
      <c r="GS88" s="207"/>
      <c r="GT88" s="207"/>
      <c r="GU88" s="207"/>
      <c r="GV88" s="207"/>
      <c r="GW88" s="207"/>
      <c r="GX88" s="207"/>
      <c r="GY88" s="207"/>
      <c r="GZ88" s="207"/>
      <c r="HA88" s="207"/>
      <c r="HB88" s="207"/>
      <c r="HC88" s="207"/>
      <c r="HD88" s="207"/>
      <c r="HE88" s="207"/>
      <c r="HF88" s="207"/>
      <c r="HG88" s="207"/>
      <c r="HH88" s="207"/>
      <c r="HI88" s="207"/>
      <c r="HJ88" s="207"/>
      <c r="HK88" s="207"/>
      <c r="HL88" s="207"/>
      <c r="HM88" s="207"/>
      <c r="HN88" s="207"/>
      <c r="HO88" s="207"/>
      <c r="HP88" s="207"/>
      <c r="HQ88" s="207"/>
      <c r="HR88" s="207"/>
      <c r="HS88" s="207"/>
      <c r="HT88" s="207"/>
      <c r="HU88" s="207"/>
      <c r="HV88" s="207"/>
      <c r="HW88" s="207"/>
      <c r="HX88" s="207"/>
      <c r="HY88" s="207"/>
    </row>
    <row r="89" s="211" customFormat="1" ht="15" customHeight="1" spans="1:233">
      <c r="A89" s="224" t="s">
        <v>100</v>
      </c>
      <c r="B89" s="225">
        <f t="shared" si="14"/>
        <v>273</v>
      </c>
      <c r="C89" s="226">
        <f t="shared" si="15"/>
        <v>240</v>
      </c>
      <c r="D89" s="225">
        <v>199</v>
      </c>
      <c r="E89" s="226">
        <v>41</v>
      </c>
      <c r="F89" s="226">
        <f t="shared" si="16"/>
        <v>33</v>
      </c>
      <c r="G89" s="225">
        <v>30</v>
      </c>
      <c r="H89" s="226">
        <v>3</v>
      </c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  <c r="BI89" s="207"/>
      <c r="BJ89" s="207"/>
      <c r="BK89" s="207"/>
      <c r="BL89" s="207"/>
      <c r="BM89" s="207"/>
      <c r="BN89" s="207"/>
      <c r="BO89" s="207"/>
      <c r="BP89" s="207"/>
      <c r="BQ89" s="207"/>
      <c r="BR89" s="207"/>
      <c r="BS89" s="207"/>
      <c r="BT89" s="207"/>
      <c r="BU89" s="207"/>
      <c r="BV89" s="207"/>
      <c r="BW89" s="207"/>
      <c r="BX89" s="207"/>
      <c r="BY89" s="207"/>
      <c r="BZ89" s="207"/>
      <c r="CA89" s="207"/>
      <c r="CB89" s="207"/>
      <c r="CC89" s="207"/>
      <c r="CD89" s="207"/>
      <c r="CE89" s="207"/>
      <c r="CF89" s="207"/>
      <c r="CG89" s="207"/>
      <c r="CH89" s="207"/>
      <c r="CI89" s="207"/>
      <c r="CJ89" s="207"/>
      <c r="CK89" s="207"/>
      <c r="CL89" s="207"/>
      <c r="CM89" s="207"/>
      <c r="CN89" s="207"/>
      <c r="CO89" s="207"/>
      <c r="CP89" s="207"/>
      <c r="CQ89" s="207"/>
      <c r="CR89" s="207"/>
      <c r="CS89" s="207"/>
      <c r="CT89" s="207"/>
      <c r="CU89" s="207"/>
      <c r="CV89" s="207"/>
      <c r="CW89" s="207"/>
      <c r="CX89" s="207"/>
      <c r="CY89" s="207"/>
      <c r="CZ89" s="207"/>
      <c r="DA89" s="207"/>
      <c r="DB89" s="207"/>
      <c r="DC89" s="207"/>
      <c r="DD89" s="207"/>
      <c r="DE89" s="207"/>
      <c r="DF89" s="207"/>
      <c r="DG89" s="207"/>
      <c r="DH89" s="207"/>
      <c r="DI89" s="207"/>
      <c r="DJ89" s="207"/>
      <c r="DK89" s="207"/>
      <c r="DL89" s="207"/>
      <c r="DM89" s="207"/>
      <c r="DN89" s="207"/>
      <c r="DO89" s="207"/>
      <c r="DP89" s="207"/>
      <c r="DQ89" s="207"/>
      <c r="DR89" s="207"/>
      <c r="DS89" s="207"/>
      <c r="DT89" s="207"/>
      <c r="DU89" s="207"/>
      <c r="DV89" s="207"/>
      <c r="DW89" s="207"/>
      <c r="DX89" s="207"/>
      <c r="DY89" s="207"/>
      <c r="DZ89" s="207"/>
      <c r="EA89" s="207"/>
      <c r="EB89" s="207"/>
      <c r="EC89" s="207"/>
      <c r="ED89" s="207"/>
      <c r="EE89" s="207"/>
      <c r="EF89" s="207"/>
      <c r="EG89" s="207"/>
      <c r="EH89" s="207"/>
      <c r="EI89" s="207"/>
      <c r="EJ89" s="207"/>
      <c r="EK89" s="207"/>
      <c r="EL89" s="207"/>
      <c r="EM89" s="207"/>
      <c r="EN89" s="207"/>
      <c r="EO89" s="207"/>
      <c r="EP89" s="207"/>
      <c r="EQ89" s="207"/>
      <c r="ER89" s="207"/>
      <c r="ES89" s="207"/>
      <c r="ET89" s="207"/>
      <c r="EU89" s="207"/>
      <c r="EV89" s="207"/>
      <c r="EW89" s="207"/>
      <c r="EX89" s="207"/>
      <c r="EY89" s="207"/>
      <c r="EZ89" s="207"/>
      <c r="FA89" s="207"/>
      <c r="FB89" s="207"/>
      <c r="FC89" s="207"/>
      <c r="FD89" s="207"/>
      <c r="FE89" s="207"/>
      <c r="FF89" s="207"/>
      <c r="FG89" s="207"/>
      <c r="FH89" s="207"/>
      <c r="FI89" s="207"/>
      <c r="FJ89" s="207"/>
      <c r="FK89" s="207"/>
      <c r="FL89" s="207"/>
      <c r="FM89" s="207"/>
      <c r="FN89" s="207"/>
      <c r="FO89" s="207"/>
      <c r="FP89" s="207"/>
      <c r="FQ89" s="207"/>
      <c r="FR89" s="207"/>
      <c r="FS89" s="207"/>
      <c r="FT89" s="207"/>
      <c r="FU89" s="207"/>
      <c r="FV89" s="207"/>
      <c r="FW89" s="207"/>
      <c r="FX89" s="207"/>
      <c r="FY89" s="207"/>
      <c r="FZ89" s="207"/>
      <c r="GA89" s="207"/>
      <c r="GB89" s="207"/>
      <c r="GC89" s="207"/>
      <c r="GD89" s="207"/>
      <c r="GE89" s="207"/>
      <c r="GF89" s="207"/>
      <c r="GG89" s="207"/>
      <c r="GH89" s="207"/>
      <c r="GI89" s="207"/>
      <c r="GJ89" s="207"/>
      <c r="GK89" s="207"/>
      <c r="GL89" s="207"/>
      <c r="GM89" s="207"/>
      <c r="GN89" s="207"/>
      <c r="GO89" s="207"/>
      <c r="GP89" s="207"/>
      <c r="GQ89" s="207"/>
      <c r="GR89" s="207"/>
      <c r="GS89" s="207"/>
      <c r="GT89" s="207"/>
      <c r="GU89" s="207"/>
      <c r="GV89" s="207"/>
      <c r="GW89" s="207"/>
      <c r="GX89" s="207"/>
      <c r="GY89" s="207"/>
      <c r="GZ89" s="207"/>
      <c r="HA89" s="207"/>
      <c r="HB89" s="207"/>
      <c r="HC89" s="207"/>
      <c r="HD89" s="207"/>
      <c r="HE89" s="207"/>
      <c r="HF89" s="207"/>
      <c r="HG89" s="207"/>
      <c r="HH89" s="207"/>
      <c r="HI89" s="207"/>
      <c r="HJ89" s="207"/>
      <c r="HK89" s="207"/>
      <c r="HL89" s="207"/>
      <c r="HM89" s="207"/>
      <c r="HN89" s="207"/>
      <c r="HO89" s="207"/>
      <c r="HP89" s="207"/>
      <c r="HQ89" s="207"/>
      <c r="HR89" s="207"/>
      <c r="HS89" s="207"/>
      <c r="HT89" s="207"/>
      <c r="HU89" s="207"/>
      <c r="HV89" s="207"/>
      <c r="HW89" s="207"/>
      <c r="HX89" s="207"/>
      <c r="HY89" s="207"/>
    </row>
    <row r="90" s="211" customFormat="1" ht="15" customHeight="1" spans="1:233">
      <c r="A90" s="224" t="s">
        <v>101</v>
      </c>
      <c r="B90" s="225">
        <f t="shared" si="14"/>
        <v>239</v>
      </c>
      <c r="C90" s="226">
        <f t="shared" si="15"/>
        <v>202</v>
      </c>
      <c r="D90" s="225">
        <v>202</v>
      </c>
      <c r="E90" s="226"/>
      <c r="F90" s="226">
        <f t="shared" si="16"/>
        <v>37</v>
      </c>
      <c r="G90" s="225">
        <v>37</v>
      </c>
      <c r="H90" s="226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7"/>
      <c r="BN90" s="207"/>
      <c r="BO90" s="207"/>
      <c r="BP90" s="207"/>
      <c r="BQ90" s="207"/>
      <c r="BR90" s="207"/>
      <c r="BS90" s="207"/>
      <c r="BT90" s="207"/>
      <c r="BU90" s="207"/>
      <c r="BV90" s="207"/>
      <c r="BW90" s="207"/>
      <c r="BX90" s="207"/>
      <c r="BY90" s="207"/>
      <c r="BZ90" s="207"/>
      <c r="CA90" s="207"/>
      <c r="CB90" s="207"/>
      <c r="CC90" s="207"/>
      <c r="CD90" s="207"/>
      <c r="CE90" s="207"/>
      <c r="CF90" s="207"/>
      <c r="CG90" s="207"/>
      <c r="CH90" s="207"/>
      <c r="CI90" s="207"/>
      <c r="CJ90" s="207"/>
      <c r="CK90" s="207"/>
      <c r="CL90" s="207"/>
      <c r="CM90" s="207"/>
      <c r="CN90" s="207"/>
      <c r="CO90" s="207"/>
      <c r="CP90" s="207"/>
      <c r="CQ90" s="207"/>
      <c r="CR90" s="207"/>
      <c r="CS90" s="207"/>
      <c r="CT90" s="207"/>
      <c r="CU90" s="207"/>
      <c r="CV90" s="207"/>
      <c r="CW90" s="207"/>
      <c r="CX90" s="207"/>
      <c r="CY90" s="207"/>
      <c r="CZ90" s="207"/>
      <c r="DA90" s="207"/>
      <c r="DB90" s="207"/>
      <c r="DC90" s="207"/>
      <c r="DD90" s="207"/>
      <c r="DE90" s="207"/>
      <c r="DF90" s="207"/>
      <c r="DG90" s="207"/>
      <c r="DH90" s="207"/>
      <c r="DI90" s="207"/>
      <c r="DJ90" s="207"/>
      <c r="DK90" s="207"/>
      <c r="DL90" s="207"/>
      <c r="DM90" s="207"/>
      <c r="DN90" s="207"/>
      <c r="DO90" s="207"/>
      <c r="DP90" s="207"/>
      <c r="DQ90" s="207"/>
      <c r="DR90" s="207"/>
      <c r="DS90" s="207"/>
      <c r="DT90" s="207"/>
      <c r="DU90" s="207"/>
      <c r="DV90" s="207"/>
      <c r="DW90" s="207"/>
      <c r="DX90" s="207"/>
      <c r="DY90" s="207"/>
      <c r="DZ90" s="207"/>
      <c r="EA90" s="207"/>
      <c r="EB90" s="207"/>
      <c r="EC90" s="207"/>
      <c r="ED90" s="207"/>
      <c r="EE90" s="207"/>
      <c r="EF90" s="207"/>
      <c r="EG90" s="207"/>
      <c r="EH90" s="207"/>
      <c r="EI90" s="207"/>
      <c r="EJ90" s="207"/>
      <c r="EK90" s="207"/>
      <c r="EL90" s="207"/>
      <c r="EM90" s="207"/>
      <c r="EN90" s="207"/>
      <c r="EO90" s="207"/>
      <c r="EP90" s="207"/>
      <c r="EQ90" s="207"/>
      <c r="ER90" s="207"/>
      <c r="ES90" s="207"/>
      <c r="ET90" s="207"/>
      <c r="EU90" s="207"/>
      <c r="EV90" s="207"/>
      <c r="EW90" s="207"/>
      <c r="EX90" s="207"/>
      <c r="EY90" s="207"/>
      <c r="EZ90" s="207"/>
      <c r="FA90" s="207"/>
      <c r="FB90" s="207"/>
      <c r="FC90" s="207"/>
      <c r="FD90" s="207"/>
      <c r="FE90" s="207"/>
      <c r="FF90" s="207"/>
      <c r="FG90" s="207"/>
      <c r="FH90" s="207"/>
      <c r="FI90" s="207"/>
      <c r="FJ90" s="207"/>
      <c r="FK90" s="207"/>
      <c r="FL90" s="207"/>
      <c r="FM90" s="207"/>
      <c r="FN90" s="207"/>
      <c r="FO90" s="207"/>
      <c r="FP90" s="207"/>
      <c r="FQ90" s="207"/>
      <c r="FR90" s="207"/>
      <c r="FS90" s="207"/>
      <c r="FT90" s="207"/>
      <c r="FU90" s="207"/>
      <c r="FV90" s="207"/>
      <c r="FW90" s="207"/>
      <c r="FX90" s="207"/>
      <c r="FY90" s="207"/>
      <c r="FZ90" s="207"/>
      <c r="GA90" s="207"/>
      <c r="GB90" s="207"/>
      <c r="GC90" s="207"/>
      <c r="GD90" s="207"/>
      <c r="GE90" s="207"/>
      <c r="GF90" s="207"/>
      <c r="GG90" s="207"/>
      <c r="GH90" s="207"/>
      <c r="GI90" s="207"/>
      <c r="GJ90" s="207"/>
      <c r="GK90" s="207"/>
      <c r="GL90" s="207"/>
      <c r="GM90" s="207"/>
      <c r="GN90" s="207"/>
      <c r="GO90" s="207"/>
      <c r="GP90" s="207"/>
      <c r="GQ90" s="207"/>
      <c r="GR90" s="207"/>
      <c r="GS90" s="207"/>
      <c r="GT90" s="207"/>
      <c r="GU90" s="207"/>
      <c r="GV90" s="207"/>
      <c r="GW90" s="207"/>
      <c r="GX90" s="207"/>
      <c r="GY90" s="207"/>
      <c r="GZ90" s="207"/>
      <c r="HA90" s="207"/>
      <c r="HB90" s="207"/>
      <c r="HC90" s="207"/>
      <c r="HD90" s="207"/>
      <c r="HE90" s="207"/>
      <c r="HF90" s="207"/>
      <c r="HG90" s="207"/>
      <c r="HH90" s="207"/>
      <c r="HI90" s="207"/>
      <c r="HJ90" s="207"/>
      <c r="HK90" s="207"/>
      <c r="HL90" s="207"/>
      <c r="HM90" s="207"/>
      <c r="HN90" s="207"/>
      <c r="HO90" s="207"/>
      <c r="HP90" s="207"/>
      <c r="HQ90" s="207"/>
      <c r="HR90" s="207"/>
      <c r="HS90" s="207"/>
      <c r="HT90" s="207"/>
      <c r="HU90" s="207"/>
      <c r="HV90" s="207"/>
      <c r="HW90" s="207"/>
      <c r="HX90" s="207"/>
      <c r="HY90" s="207"/>
    </row>
    <row r="91" s="211" customFormat="1" ht="15" customHeight="1" spans="1:233">
      <c r="A91" s="224" t="s">
        <v>102</v>
      </c>
      <c r="B91" s="225">
        <f t="shared" si="14"/>
        <v>213</v>
      </c>
      <c r="C91" s="226">
        <f t="shared" si="15"/>
        <v>175</v>
      </c>
      <c r="D91" s="225">
        <v>175</v>
      </c>
      <c r="E91" s="226"/>
      <c r="F91" s="226">
        <f t="shared" si="16"/>
        <v>38</v>
      </c>
      <c r="G91" s="225">
        <v>38</v>
      </c>
      <c r="H91" s="226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7"/>
      <c r="BN91" s="207"/>
      <c r="BO91" s="207"/>
      <c r="BP91" s="207"/>
      <c r="BQ91" s="207"/>
      <c r="BR91" s="207"/>
      <c r="BS91" s="207"/>
      <c r="BT91" s="207"/>
      <c r="BU91" s="207"/>
      <c r="BV91" s="207"/>
      <c r="BW91" s="207"/>
      <c r="BX91" s="207"/>
      <c r="BY91" s="207"/>
      <c r="BZ91" s="207"/>
      <c r="CA91" s="207"/>
      <c r="CB91" s="207"/>
      <c r="CC91" s="207"/>
      <c r="CD91" s="207"/>
      <c r="CE91" s="207"/>
      <c r="CF91" s="207"/>
      <c r="CG91" s="207"/>
      <c r="CH91" s="207"/>
      <c r="CI91" s="207"/>
      <c r="CJ91" s="207"/>
      <c r="CK91" s="207"/>
      <c r="CL91" s="207"/>
      <c r="CM91" s="207"/>
      <c r="CN91" s="207"/>
      <c r="CO91" s="207"/>
      <c r="CP91" s="207"/>
      <c r="CQ91" s="207"/>
      <c r="CR91" s="207"/>
      <c r="CS91" s="207"/>
      <c r="CT91" s="207"/>
      <c r="CU91" s="207"/>
      <c r="CV91" s="207"/>
      <c r="CW91" s="207"/>
      <c r="CX91" s="207"/>
      <c r="CY91" s="207"/>
      <c r="CZ91" s="207"/>
      <c r="DA91" s="207"/>
      <c r="DB91" s="207"/>
      <c r="DC91" s="207"/>
      <c r="DD91" s="207"/>
      <c r="DE91" s="207"/>
      <c r="DF91" s="207"/>
      <c r="DG91" s="207"/>
      <c r="DH91" s="207"/>
      <c r="DI91" s="207"/>
      <c r="DJ91" s="207"/>
      <c r="DK91" s="207"/>
      <c r="DL91" s="207"/>
      <c r="DM91" s="207"/>
      <c r="DN91" s="207"/>
      <c r="DO91" s="207"/>
      <c r="DP91" s="207"/>
      <c r="DQ91" s="207"/>
      <c r="DR91" s="207"/>
      <c r="DS91" s="207"/>
      <c r="DT91" s="207"/>
      <c r="DU91" s="207"/>
      <c r="DV91" s="207"/>
      <c r="DW91" s="207"/>
      <c r="DX91" s="207"/>
      <c r="DY91" s="207"/>
      <c r="DZ91" s="207"/>
      <c r="EA91" s="207"/>
      <c r="EB91" s="207"/>
      <c r="EC91" s="207"/>
      <c r="ED91" s="207"/>
      <c r="EE91" s="207"/>
      <c r="EF91" s="207"/>
      <c r="EG91" s="207"/>
      <c r="EH91" s="207"/>
      <c r="EI91" s="207"/>
      <c r="EJ91" s="207"/>
      <c r="EK91" s="207"/>
      <c r="EL91" s="207"/>
      <c r="EM91" s="207"/>
      <c r="EN91" s="207"/>
      <c r="EO91" s="207"/>
      <c r="EP91" s="207"/>
      <c r="EQ91" s="207"/>
      <c r="ER91" s="207"/>
      <c r="ES91" s="207"/>
      <c r="ET91" s="207"/>
      <c r="EU91" s="207"/>
      <c r="EV91" s="207"/>
      <c r="EW91" s="207"/>
      <c r="EX91" s="207"/>
      <c r="EY91" s="207"/>
      <c r="EZ91" s="207"/>
      <c r="FA91" s="207"/>
      <c r="FB91" s="207"/>
      <c r="FC91" s="207"/>
      <c r="FD91" s="207"/>
      <c r="FE91" s="207"/>
      <c r="FF91" s="207"/>
      <c r="FG91" s="207"/>
      <c r="FH91" s="207"/>
      <c r="FI91" s="207"/>
      <c r="FJ91" s="207"/>
      <c r="FK91" s="207"/>
      <c r="FL91" s="207"/>
      <c r="FM91" s="207"/>
      <c r="FN91" s="207"/>
      <c r="FO91" s="207"/>
      <c r="FP91" s="207"/>
      <c r="FQ91" s="207"/>
      <c r="FR91" s="207"/>
      <c r="FS91" s="207"/>
      <c r="FT91" s="207"/>
      <c r="FU91" s="207"/>
      <c r="FV91" s="207"/>
      <c r="FW91" s="207"/>
      <c r="FX91" s="207"/>
      <c r="FY91" s="207"/>
      <c r="FZ91" s="207"/>
      <c r="GA91" s="207"/>
      <c r="GB91" s="207"/>
      <c r="GC91" s="207"/>
      <c r="GD91" s="207"/>
      <c r="GE91" s="207"/>
      <c r="GF91" s="207"/>
      <c r="GG91" s="207"/>
      <c r="GH91" s="207"/>
      <c r="GI91" s="207"/>
      <c r="GJ91" s="207"/>
      <c r="GK91" s="207"/>
      <c r="GL91" s="207"/>
      <c r="GM91" s="207"/>
      <c r="GN91" s="207"/>
      <c r="GO91" s="207"/>
      <c r="GP91" s="207"/>
      <c r="GQ91" s="207"/>
      <c r="GR91" s="207"/>
      <c r="GS91" s="207"/>
      <c r="GT91" s="207"/>
      <c r="GU91" s="207"/>
      <c r="GV91" s="207"/>
      <c r="GW91" s="207"/>
      <c r="GX91" s="207"/>
      <c r="GY91" s="207"/>
      <c r="GZ91" s="207"/>
      <c r="HA91" s="207"/>
      <c r="HB91" s="207"/>
      <c r="HC91" s="207"/>
      <c r="HD91" s="207"/>
      <c r="HE91" s="207"/>
      <c r="HF91" s="207"/>
      <c r="HG91" s="207"/>
      <c r="HH91" s="207"/>
      <c r="HI91" s="207"/>
      <c r="HJ91" s="207"/>
      <c r="HK91" s="207"/>
      <c r="HL91" s="207"/>
      <c r="HM91" s="207"/>
      <c r="HN91" s="207"/>
      <c r="HO91" s="207"/>
      <c r="HP91" s="207"/>
      <c r="HQ91" s="207"/>
      <c r="HR91" s="207"/>
      <c r="HS91" s="207"/>
      <c r="HT91" s="207"/>
      <c r="HU91" s="207"/>
      <c r="HV91" s="207"/>
      <c r="HW91" s="207"/>
      <c r="HX91" s="207"/>
      <c r="HY91" s="207"/>
    </row>
    <row r="92" s="211" customFormat="1" ht="15" customHeight="1" spans="1:233">
      <c r="A92" s="224" t="s">
        <v>103</v>
      </c>
      <c r="B92" s="225">
        <f t="shared" si="14"/>
        <v>257</v>
      </c>
      <c r="C92" s="226">
        <f t="shared" si="15"/>
        <v>214</v>
      </c>
      <c r="D92" s="225">
        <v>214</v>
      </c>
      <c r="E92" s="226"/>
      <c r="F92" s="226">
        <f t="shared" si="16"/>
        <v>43</v>
      </c>
      <c r="G92" s="225">
        <v>43</v>
      </c>
      <c r="H92" s="226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7"/>
      <c r="BN92" s="207"/>
      <c r="BO92" s="207"/>
      <c r="BP92" s="207"/>
      <c r="BQ92" s="207"/>
      <c r="BR92" s="207"/>
      <c r="BS92" s="207"/>
      <c r="BT92" s="207"/>
      <c r="BU92" s="207"/>
      <c r="BV92" s="207"/>
      <c r="BW92" s="207"/>
      <c r="BX92" s="207"/>
      <c r="BY92" s="207"/>
      <c r="BZ92" s="207"/>
      <c r="CA92" s="207"/>
      <c r="CB92" s="207"/>
      <c r="CC92" s="207"/>
      <c r="CD92" s="207"/>
      <c r="CE92" s="207"/>
      <c r="CF92" s="207"/>
      <c r="CG92" s="207"/>
      <c r="CH92" s="207"/>
      <c r="CI92" s="207"/>
      <c r="CJ92" s="207"/>
      <c r="CK92" s="207"/>
      <c r="CL92" s="207"/>
      <c r="CM92" s="207"/>
      <c r="CN92" s="207"/>
      <c r="CO92" s="207"/>
      <c r="CP92" s="207"/>
      <c r="CQ92" s="207"/>
      <c r="CR92" s="207"/>
      <c r="CS92" s="207"/>
      <c r="CT92" s="207"/>
      <c r="CU92" s="207"/>
      <c r="CV92" s="207"/>
      <c r="CW92" s="207"/>
      <c r="CX92" s="207"/>
      <c r="CY92" s="207"/>
      <c r="CZ92" s="207"/>
      <c r="DA92" s="207"/>
      <c r="DB92" s="207"/>
      <c r="DC92" s="207"/>
      <c r="DD92" s="207"/>
      <c r="DE92" s="207"/>
      <c r="DF92" s="207"/>
      <c r="DG92" s="207"/>
      <c r="DH92" s="207"/>
      <c r="DI92" s="207"/>
      <c r="DJ92" s="207"/>
      <c r="DK92" s="207"/>
      <c r="DL92" s="207"/>
      <c r="DM92" s="207"/>
      <c r="DN92" s="207"/>
      <c r="DO92" s="207"/>
      <c r="DP92" s="207"/>
      <c r="DQ92" s="207"/>
      <c r="DR92" s="207"/>
      <c r="DS92" s="207"/>
      <c r="DT92" s="207"/>
      <c r="DU92" s="207"/>
      <c r="DV92" s="207"/>
      <c r="DW92" s="207"/>
      <c r="DX92" s="207"/>
      <c r="DY92" s="207"/>
      <c r="DZ92" s="207"/>
      <c r="EA92" s="207"/>
      <c r="EB92" s="207"/>
      <c r="EC92" s="207"/>
      <c r="ED92" s="207"/>
      <c r="EE92" s="207"/>
      <c r="EF92" s="207"/>
      <c r="EG92" s="207"/>
      <c r="EH92" s="207"/>
      <c r="EI92" s="207"/>
      <c r="EJ92" s="207"/>
      <c r="EK92" s="207"/>
      <c r="EL92" s="207"/>
      <c r="EM92" s="207"/>
      <c r="EN92" s="207"/>
      <c r="EO92" s="207"/>
      <c r="EP92" s="207"/>
      <c r="EQ92" s="207"/>
      <c r="ER92" s="207"/>
      <c r="ES92" s="207"/>
      <c r="ET92" s="207"/>
      <c r="EU92" s="207"/>
      <c r="EV92" s="207"/>
      <c r="EW92" s="207"/>
      <c r="EX92" s="207"/>
      <c r="EY92" s="207"/>
      <c r="EZ92" s="207"/>
      <c r="FA92" s="207"/>
      <c r="FB92" s="207"/>
      <c r="FC92" s="207"/>
      <c r="FD92" s="207"/>
      <c r="FE92" s="207"/>
      <c r="FF92" s="207"/>
      <c r="FG92" s="207"/>
      <c r="FH92" s="207"/>
      <c r="FI92" s="207"/>
      <c r="FJ92" s="207"/>
      <c r="FK92" s="207"/>
      <c r="FL92" s="207"/>
      <c r="FM92" s="207"/>
      <c r="FN92" s="207"/>
      <c r="FO92" s="207"/>
      <c r="FP92" s="207"/>
      <c r="FQ92" s="207"/>
      <c r="FR92" s="207"/>
      <c r="FS92" s="207"/>
      <c r="FT92" s="207"/>
      <c r="FU92" s="207"/>
      <c r="FV92" s="207"/>
      <c r="FW92" s="207"/>
      <c r="FX92" s="207"/>
      <c r="FY92" s="207"/>
      <c r="FZ92" s="207"/>
      <c r="GA92" s="207"/>
      <c r="GB92" s="207"/>
      <c r="GC92" s="207"/>
      <c r="GD92" s="207"/>
      <c r="GE92" s="207"/>
      <c r="GF92" s="207"/>
      <c r="GG92" s="207"/>
      <c r="GH92" s="207"/>
      <c r="GI92" s="207"/>
      <c r="GJ92" s="207"/>
      <c r="GK92" s="207"/>
      <c r="GL92" s="207"/>
      <c r="GM92" s="207"/>
      <c r="GN92" s="207"/>
      <c r="GO92" s="207"/>
      <c r="GP92" s="207"/>
      <c r="GQ92" s="207"/>
      <c r="GR92" s="207"/>
      <c r="GS92" s="207"/>
      <c r="GT92" s="207"/>
      <c r="GU92" s="207"/>
      <c r="GV92" s="207"/>
      <c r="GW92" s="207"/>
      <c r="GX92" s="207"/>
      <c r="GY92" s="207"/>
      <c r="GZ92" s="207"/>
      <c r="HA92" s="207"/>
      <c r="HB92" s="207"/>
      <c r="HC92" s="207"/>
      <c r="HD92" s="207"/>
      <c r="HE92" s="207"/>
      <c r="HF92" s="207"/>
      <c r="HG92" s="207"/>
      <c r="HH92" s="207"/>
      <c r="HI92" s="207"/>
      <c r="HJ92" s="207"/>
      <c r="HK92" s="207"/>
      <c r="HL92" s="207"/>
      <c r="HM92" s="207"/>
      <c r="HN92" s="207"/>
      <c r="HO92" s="207"/>
      <c r="HP92" s="207"/>
      <c r="HQ92" s="207"/>
      <c r="HR92" s="207"/>
      <c r="HS92" s="207"/>
      <c r="HT92" s="207"/>
      <c r="HU92" s="207"/>
      <c r="HV92" s="207"/>
      <c r="HW92" s="207"/>
      <c r="HX92" s="207"/>
      <c r="HY92" s="207"/>
    </row>
    <row r="93" s="211" customFormat="1" ht="15" customHeight="1" spans="1:233">
      <c r="A93" s="224" t="s">
        <v>104</v>
      </c>
      <c r="B93" s="225">
        <f t="shared" si="14"/>
        <v>332</v>
      </c>
      <c r="C93" s="226">
        <f t="shared" si="15"/>
        <v>282</v>
      </c>
      <c r="D93" s="225">
        <v>282</v>
      </c>
      <c r="E93" s="226"/>
      <c r="F93" s="226">
        <f t="shared" si="16"/>
        <v>50</v>
      </c>
      <c r="G93" s="225">
        <v>50</v>
      </c>
      <c r="H93" s="226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7"/>
      <c r="BN93" s="207"/>
      <c r="BO93" s="207"/>
      <c r="BP93" s="207"/>
      <c r="BQ93" s="207"/>
      <c r="BR93" s="207"/>
      <c r="BS93" s="207"/>
      <c r="BT93" s="207"/>
      <c r="BU93" s="207"/>
      <c r="BV93" s="207"/>
      <c r="BW93" s="207"/>
      <c r="BX93" s="207"/>
      <c r="BY93" s="207"/>
      <c r="BZ93" s="207"/>
      <c r="CA93" s="207"/>
      <c r="CB93" s="207"/>
      <c r="CC93" s="207"/>
      <c r="CD93" s="207"/>
      <c r="CE93" s="207"/>
      <c r="CF93" s="207"/>
      <c r="CG93" s="207"/>
      <c r="CH93" s="207"/>
      <c r="CI93" s="207"/>
      <c r="CJ93" s="207"/>
      <c r="CK93" s="207"/>
      <c r="CL93" s="207"/>
      <c r="CM93" s="207"/>
      <c r="CN93" s="207"/>
      <c r="CO93" s="207"/>
      <c r="CP93" s="207"/>
      <c r="CQ93" s="207"/>
      <c r="CR93" s="207"/>
      <c r="CS93" s="207"/>
      <c r="CT93" s="207"/>
      <c r="CU93" s="207"/>
      <c r="CV93" s="207"/>
      <c r="CW93" s="207"/>
      <c r="CX93" s="207"/>
      <c r="CY93" s="207"/>
      <c r="CZ93" s="207"/>
      <c r="DA93" s="207"/>
      <c r="DB93" s="207"/>
      <c r="DC93" s="207"/>
      <c r="DD93" s="207"/>
      <c r="DE93" s="207"/>
      <c r="DF93" s="207"/>
      <c r="DG93" s="207"/>
      <c r="DH93" s="207"/>
      <c r="DI93" s="207"/>
      <c r="DJ93" s="207"/>
      <c r="DK93" s="207"/>
      <c r="DL93" s="207"/>
      <c r="DM93" s="207"/>
      <c r="DN93" s="207"/>
      <c r="DO93" s="207"/>
      <c r="DP93" s="207"/>
      <c r="DQ93" s="207"/>
      <c r="DR93" s="207"/>
      <c r="DS93" s="207"/>
      <c r="DT93" s="207"/>
      <c r="DU93" s="207"/>
      <c r="DV93" s="207"/>
      <c r="DW93" s="207"/>
      <c r="DX93" s="207"/>
      <c r="DY93" s="207"/>
      <c r="DZ93" s="207"/>
      <c r="EA93" s="207"/>
      <c r="EB93" s="207"/>
      <c r="EC93" s="207"/>
      <c r="ED93" s="207"/>
      <c r="EE93" s="207"/>
      <c r="EF93" s="207"/>
      <c r="EG93" s="207"/>
      <c r="EH93" s="207"/>
      <c r="EI93" s="207"/>
      <c r="EJ93" s="207"/>
      <c r="EK93" s="207"/>
      <c r="EL93" s="207"/>
      <c r="EM93" s="207"/>
      <c r="EN93" s="207"/>
      <c r="EO93" s="207"/>
      <c r="EP93" s="207"/>
      <c r="EQ93" s="207"/>
      <c r="ER93" s="207"/>
      <c r="ES93" s="207"/>
      <c r="ET93" s="207"/>
      <c r="EU93" s="207"/>
      <c r="EV93" s="207"/>
      <c r="EW93" s="207"/>
      <c r="EX93" s="207"/>
      <c r="EY93" s="207"/>
      <c r="EZ93" s="207"/>
      <c r="FA93" s="207"/>
      <c r="FB93" s="207"/>
      <c r="FC93" s="207"/>
      <c r="FD93" s="207"/>
      <c r="FE93" s="207"/>
      <c r="FF93" s="207"/>
      <c r="FG93" s="207"/>
      <c r="FH93" s="207"/>
      <c r="FI93" s="207"/>
      <c r="FJ93" s="207"/>
      <c r="FK93" s="207"/>
      <c r="FL93" s="207"/>
      <c r="FM93" s="207"/>
      <c r="FN93" s="207"/>
      <c r="FO93" s="207"/>
      <c r="FP93" s="207"/>
      <c r="FQ93" s="207"/>
      <c r="FR93" s="207"/>
      <c r="FS93" s="207"/>
      <c r="FT93" s="207"/>
      <c r="FU93" s="207"/>
      <c r="FV93" s="207"/>
      <c r="FW93" s="207"/>
      <c r="FX93" s="207"/>
      <c r="FY93" s="207"/>
      <c r="FZ93" s="207"/>
      <c r="GA93" s="207"/>
      <c r="GB93" s="207"/>
      <c r="GC93" s="207"/>
      <c r="GD93" s="207"/>
      <c r="GE93" s="207"/>
      <c r="GF93" s="207"/>
      <c r="GG93" s="207"/>
      <c r="GH93" s="207"/>
      <c r="GI93" s="207"/>
      <c r="GJ93" s="207"/>
      <c r="GK93" s="207"/>
      <c r="GL93" s="207"/>
      <c r="GM93" s="207"/>
      <c r="GN93" s="207"/>
      <c r="GO93" s="207"/>
      <c r="GP93" s="207"/>
      <c r="GQ93" s="207"/>
      <c r="GR93" s="207"/>
      <c r="GS93" s="207"/>
      <c r="GT93" s="207"/>
      <c r="GU93" s="207"/>
      <c r="GV93" s="207"/>
      <c r="GW93" s="207"/>
      <c r="GX93" s="207"/>
      <c r="GY93" s="207"/>
      <c r="GZ93" s="207"/>
      <c r="HA93" s="207"/>
      <c r="HB93" s="207"/>
      <c r="HC93" s="207"/>
      <c r="HD93" s="207"/>
      <c r="HE93" s="207"/>
      <c r="HF93" s="207"/>
      <c r="HG93" s="207"/>
      <c r="HH93" s="207"/>
      <c r="HI93" s="207"/>
      <c r="HJ93" s="207"/>
      <c r="HK93" s="207"/>
      <c r="HL93" s="207"/>
      <c r="HM93" s="207"/>
      <c r="HN93" s="207"/>
      <c r="HO93" s="207"/>
      <c r="HP93" s="207"/>
      <c r="HQ93" s="207"/>
      <c r="HR93" s="207"/>
      <c r="HS93" s="207"/>
      <c r="HT93" s="207"/>
      <c r="HU93" s="207"/>
      <c r="HV93" s="207"/>
      <c r="HW93" s="207"/>
      <c r="HX93" s="207"/>
      <c r="HY93" s="207"/>
    </row>
    <row r="94" s="212" customFormat="1" ht="15" customHeight="1" spans="1:8">
      <c r="A94" s="224" t="s">
        <v>105</v>
      </c>
      <c r="B94" s="225">
        <f t="shared" si="14"/>
        <v>1086</v>
      </c>
      <c r="C94" s="226">
        <f t="shared" si="15"/>
        <v>912</v>
      </c>
      <c r="D94" s="225">
        <v>912</v>
      </c>
      <c r="E94" s="226"/>
      <c r="F94" s="226">
        <f t="shared" si="16"/>
        <v>174</v>
      </c>
      <c r="G94" s="225">
        <v>174</v>
      </c>
      <c r="H94" s="226"/>
    </row>
    <row r="95" s="212" customFormat="1" spans="1:8">
      <c r="A95" s="224" t="s">
        <v>106</v>
      </c>
      <c r="B95" s="225">
        <f t="shared" si="14"/>
        <v>710</v>
      </c>
      <c r="C95" s="226">
        <f t="shared" si="15"/>
        <v>574</v>
      </c>
      <c r="D95" s="225">
        <v>574</v>
      </c>
      <c r="E95" s="227"/>
      <c r="F95" s="226">
        <f t="shared" si="16"/>
        <v>136</v>
      </c>
      <c r="G95" s="225">
        <v>136</v>
      </c>
      <c r="H95" s="227"/>
    </row>
    <row r="96" s="212" customFormat="1" spans="1:8">
      <c r="A96" s="222" t="s">
        <v>107</v>
      </c>
      <c r="B96" s="228">
        <f t="shared" si="14"/>
        <v>311</v>
      </c>
      <c r="C96" s="226">
        <f t="shared" si="15"/>
        <v>281</v>
      </c>
      <c r="D96" s="228">
        <v>281</v>
      </c>
      <c r="E96" s="227"/>
      <c r="F96" s="226">
        <f t="shared" si="16"/>
        <v>30</v>
      </c>
      <c r="G96" s="228">
        <v>30</v>
      </c>
      <c r="H96" s="227"/>
    </row>
    <row r="97" s="207" customFormat="1" spans="1:8">
      <c r="A97" s="214"/>
      <c r="B97" s="215"/>
      <c r="C97" s="215"/>
      <c r="D97" s="215"/>
      <c r="E97" s="215"/>
      <c r="F97" s="215"/>
      <c r="G97" s="215"/>
      <c r="H97" s="215"/>
    </row>
    <row r="98" s="207" customFormat="1" spans="1:8">
      <c r="A98" s="214"/>
      <c r="B98" s="215"/>
      <c r="C98" s="215"/>
      <c r="D98" s="215"/>
      <c r="E98" s="215"/>
      <c r="F98" s="215"/>
      <c r="G98" s="215"/>
      <c r="H98" s="215"/>
    </row>
    <row r="99" s="207" customFormat="1" spans="1:8">
      <c r="A99" s="214"/>
      <c r="B99" s="215"/>
      <c r="C99" s="215"/>
      <c r="D99" s="215"/>
      <c r="E99" s="215"/>
      <c r="F99" s="215"/>
      <c r="G99" s="215"/>
      <c r="H99" s="215"/>
    </row>
    <row r="100" s="207" customFormat="1" spans="1:8">
      <c r="A100" s="214"/>
      <c r="B100" s="215"/>
      <c r="C100" s="215"/>
      <c r="D100" s="215"/>
      <c r="E100" s="215"/>
      <c r="F100" s="215"/>
      <c r="G100" s="215"/>
      <c r="H100" s="215"/>
    </row>
    <row r="101" s="207" customFormat="1" spans="1:8">
      <c r="A101" s="214"/>
      <c r="B101" s="215"/>
      <c r="C101" s="215"/>
      <c r="D101" s="215"/>
      <c r="E101" s="215"/>
      <c r="F101" s="215"/>
      <c r="G101" s="215"/>
      <c r="H101" s="215"/>
    </row>
    <row r="102" s="207" customFormat="1" spans="1:8">
      <c r="A102" s="214"/>
      <c r="B102" s="215"/>
      <c r="C102" s="215"/>
      <c r="D102" s="215"/>
      <c r="E102" s="215"/>
      <c r="F102" s="215"/>
      <c r="G102" s="215"/>
      <c r="H102" s="215"/>
    </row>
    <row r="103" s="207" customFormat="1" spans="1:8">
      <c r="A103" s="214"/>
      <c r="B103" s="215"/>
      <c r="C103" s="215"/>
      <c r="D103" s="215"/>
      <c r="E103" s="215"/>
      <c r="F103" s="215"/>
      <c r="G103" s="215"/>
      <c r="H103" s="215"/>
    </row>
    <row r="104" spans="6:6">
      <c r="F104" s="229"/>
    </row>
  </sheetData>
  <mergeCells count="6">
    <mergeCell ref="A2:H2"/>
    <mergeCell ref="A3:H3"/>
    <mergeCell ref="C4:E4"/>
    <mergeCell ref="F4:H4"/>
    <mergeCell ref="A4:A5"/>
    <mergeCell ref="B4:B5"/>
  </mergeCells>
  <pageMargins left="0.472222222222222" right="0.275" top="0.354166666666667" bottom="0.393055555555556" header="0.196527777777778" footer="0.156944444444444"/>
  <pageSetup paperSize="9" firstPageNumber="3" fitToHeight="0" orientation="portrait" useFirstPageNumber="1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3"/>
  <sheetViews>
    <sheetView workbookViewId="0">
      <selection activeCell="A5" sqref="A5:M93"/>
    </sheetView>
  </sheetViews>
  <sheetFormatPr defaultColWidth="9" defaultRowHeight="14.25"/>
  <cols>
    <col min="1" max="1" width="20.2583333333333" customWidth="1"/>
    <col min="8" max="8" width="9" style="188" customWidth="1"/>
    <col min="9" max="10" width="10.875" style="162" customWidth="1"/>
    <col min="11" max="11" width="9" hidden="1" customWidth="1"/>
    <col min="12" max="12" width="13.7583333333333" hidden="1" customWidth="1"/>
  </cols>
  <sheetData>
    <row r="1" ht="24" spans="1:10">
      <c r="A1" s="189" t="s">
        <v>108</v>
      </c>
      <c r="B1" s="189"/>
      <c r="C1" s="189"/>
      <c r="D1" s="189"/>
      <c r="E1" s="189"/>
      <c r="F1" s="189"/>
      <c r="G1" s="189"/>
      <c r="H1" s="189"/>
      <c r="I1" s="189"/>
      <c r="J1" s="189"/>
    </row>
    <row r="2" ht="24" spans="1:11">
      <c r="A2" s="189"/>
      <c r="B2" s="189"/>
      <c r="C2" s="189"/>
      <c r="D2" s="189"/>
      <c r="E2" s="189"/>
      <c r="F2" s="189"/>
      <c r="G2" s="179" t="s">
        <v>109</v>
      </c>
      <c r="H2" s="179"/>
      <c r="I2" s="179"/>
      <c r="J2" s="179"/>
      <c r="K2" s="183" t="s">
        <v>110</v>
      </c>
    </row>
    <row r="3" ht="20" customHeight="1" spans="1:13">
      <c r="A3" s="3" t="s">
        <v>3</v>
      </c>
      <c r="B3" s="190" t="s">
        <v>111</v>
      </c>
      <c r="C3" s="191"/>
      <c r="D3" s="191"/>
      <c r="E3" s="191"/>
      <c r="F3" s="196"/>
      <c r="G3" s="197" t="s">
        <v>112</v>
      </c>
      <c r="H3" s="197"/>
      <c r="I3" s="197"/>
      <c r="J3" s="203" t="s">
        <v>113</v>
      </c>
      <c r="K3" s="183"/>
      <c r="M3" s="204" t="s">
        <v>114</v>
      </c>
    </row>
    <row r="4" ht="20" customHeight="1" spans="1:13">
      <c r="A4" s="6"/>
      <c r="B4" s="192" t="s">
        <v>115</v>
      </c>
      <c r="C4" s="192" t="s">
        <v>116</v>
      </c>
      <c r="D4" s="192" t="s">
        <v>117</v>
      </c>
      <c r="E4" s="192" t="s">
        <v>118</v>
      </c>
      <c r="F4" s="192" t="s">
        <v>119</v>
      </c>
      <c r="G4" s="197" t="s">
        <v>4</v>
      </c>
      <c r="H4" s="198" t="s">
        <v>120</v>
      </c>
      <c r="I4" s="184" t="s">
        <v>121</v>
      </c>
      <c r="J4" s="203"/>
      <c r="K4" s="183"/>
      <c r="M4" s="204"/>
    </row>
    <row r="5" spans="1:13">
      <c r="A5" s="171" t="s">
        <v>18</v>
      </c>
      <c r="B5" s="193">
        <f t="shared" ref="B5:I5" si="0">B6+B36+B19+B49+B62+B73+B26+B82+B93</f>
        <v>268443</v>
      </c>
      <c r="C5" s="193">
        <f t="shared" si="0"/>
        <v>253071</v>
      </c>
      <c r="D5" s="193">
        <f t="shared" si="0"/>
        <v>5213</v>
      </c>
      <c r="E5" s="193">
        <f t="shared" si="0"/>
        <v>8921</v>
      </c>
      <c r="F5" s="193">
        <f t="shared" si="0"/>
        <v>1238</v>
      </c>
      <c r="G5" s="172">
        <f t="shared" si="0"/>
        <v>57518.01</v>
      </c>
      <c r="H5" s="172">
        <f t="shared" si="0"/>
        <v>38167.49</v>
      </c>
      <c r="I5" s="172">
        <f t="shared" si="0"/>
        <v>19350.52</v>
      </c>
      <c r="J5" s="172"/>
      <c r="K5" s="172">
        <f>K6+K36+K19+K49+K62+K73+K26+K82+K93</f>
        <v>34337.87</v>
      </c>
      <c r="M5" s="172">
        <f>M6+M36+M19+M49+M62+M73+M26+M82+M93</f>
        <v>30667</v>
      </c>
    </row>
    <row r="6" spans="1:13">
      <c r="A6" s="173" t="s">
        <v>19</v>
      </c>
      <c r="B6" s="178">
        <f t="shared" ref="B6:I6" si="1">SUM(B7:B18)</f>
        <v>49643</v>
      </c>
      <c r="C6" s="178">
        <f t="shared" si="1"/>
        <v>48780</v>
      </c>
      <c r="D6" s="178">
        <f t="shared" si="1"/>
        <v>649</v>
      </c>
      <c r="E6" s="178">
        <f t="shared" si="1"/>
        <v>0</v>
      </c>
      <c r="F6" s="199">
        <f t="shared" si="1"/>
        <v>214</v>
      </c>
      <c r="G6" s="174">
        <f t="shared" si="1"/>
        <v>10476.6</v>
      </c>
      <c r="H6" s="174">
        <f t="shared" si="1"/>
        <v>5692.51</v>
      </c>
      <c r="I6" s="174">
        <f t="shared" si="1"/>
        <v>4784.09</v>
      </c>
      <c r="J6" s="174"/>
      <c r="K6">
        <v>4398.05</v>
      </c>
      <c r="M6" s="174">
        <f>SUM(M7:M18)</f>
        <v>4576</v>
      </c>
    </row>
    <row r="7" spans="1:13">
      <c r="A7" s="175" t="s">
        <v>20</v>
      </c>
      <c r="B7" s="194">
        <v>15434</v>
      </c>
      <c r="C7" s="195">
        <f t="shared" ref="C7:C18" si="2">B7-D7-E7-F7</f>
        <v>15163</v>
      </c>
      <c r="D7" s="176">
        <v>57</v>
      </c>
      <c r="E7" s="176"/>
      <c r="F7" s="200">
        <v>214</v>
      </c>
      <c r="G7" s="201">
        <f t="shared" ref="G7:G18" si="3">C7*0.21+E7*0.3+F7*0.36+D7*0.24</f>
        <v>3274.95</v>
      </c>
      <c r="H7" s="176">
        <f t="shared" ref="H7:H18" si="4">ROUND(((C7)*0.21+(E7)*0.3+(F7)*0.36)*J7/10+D7*0.24,2)</f>
        <v>1644.32</v>
      </c>
      <c r="I7" s="176">
        <f t="shared" ref="I7:I18" si="5">G7-H7</f>
        <v>1630.63</v>
      </c>
      <c r="J7" s="176">
        <v>5</v>
      </c>
      <c r="K7">
        <v>769.79</v>
      </c>
      <c r="L7">
        <f t="shared" ref="L7:L70" si="6">(K7-H7)/H7</f>
        <v>-0.531849031818624</v>
      </c>
      <c r="M7" s="184">
        <f t="shared" ref="M7:M18" si="7">ROUNDUP(H7*0.803,0)</f>
        <v>1321</v>
      </c>
    </row>
    <row r="8" spans="1:13">
      <c r="A8" s="175" t="s">
        <v>21</v>
      </c>
      <c r="B8" s="176">
        <v>789</v>
      </c>
      <c r="C8" s="195">
        <f t="shared" si="2"/>
        <v>789</v>
      </c>
      <c r="D8" s="176">
        <v>0</v>
      </c>
      <c r="E8" s="176">
        <v>0</v>
      </c>
      <c r="F8" s="202">
        <v>0</v>
      </c>
      <c r="G8" s="201">
        <f t="shared" si="3"/>
        <v>165.69</v>
      </c>
      <c r="H8" s="176">
        <f t="shared" si="4"/>
        <v>82.85</v>
      </c>
      <c r="I8" s="176">
        <f t="shared" si="5"/>
        <v>82.84</v>
      </c>
      <c r="J8" s="176">
        <v>5</v>
      </c>
      <c r="K8">
        <v>39.93</v>
      </c>
      <c r="L8">
        <f t="shared" si="6"/>
        <v>-0.518044659022329</v>
      </c>
      <c r="M8" s="184">
        <f t="shared" si="7"/>
        <v>67</v>
      </c>
    </row>
    <row r="9" spans="1:13">
      <c r="A9" s="175" t="s">
        <v>22</v>
      </c>
      <c r="B9" s="176">
        <v>2622</v>
      </c>
      <c r="C9" s="195">
        <f t="shared" si="2"/>
        <v>2126</v>
      </c>
      <c r="D9" s="176">
        <v>496</v>
      </c>
      <c r="E9" s="176">
        <v>0</v>
      </c>
      <c r="F9" s="202">
        <v>0</v>
      </c>
      <c r="G9" s="201">
        <f t="shared" si="3"/>
        <v>565.5</v>
      </c>
      <c r="H9" s="176">
        <f t="shared" si="4"/>
        <v>342.27</v>
      </c>
      <c r="I9" s="176">
        <f t="shared" si="5"/>
        <v>223.23</v>
      </c>
      <c r="J9" s="176">
        <v>5</v>
      </c>
      <c r="K9">
        <v>219.74</v>
      </c>
      <c r="L9">
        <f t="shared" si="6"/>
        <v>-0.357992228357729</v>
      </c>
      <c r="M9" s="184">
        <f t="shared" si="7"/>
        <v>275</v>
      </c>
    </row>
    <row r="10" spans="1:13">
      <c r="A10" s="175" t="s">
        <v>23</v>
      </c>
      <c r="B10" s="176">
        <v>1914</v>
      </c>
      <c r="C10" s="195">
        <f t="shared" si="2"/>
        <v>1914</v>
      </c>
      <c r="D10" s="176">
        <v>0</v>
      </c>
      <c r="E10" s="176">
        <v>0</v>
      </c>
      <c r="F10" s="202">
        <v>0</v>
      </c>
      <c r="G10" s="201">
        <f t="shared" si="3"/>
        <v>401.94</v>
      </c>
      <c r="H10" s="176">
        <f t="shared" si="4"/>
        <v>200.97</v>
      </c>
      <c r="I10" s="176">
        <f t="shared" si="5"/>
        <v>200.97</v>
      </c>
      <c r="J10" s="176">
        <v>5</v>
      </c>
      <c r="K10">
        <v>85.07</v>
      </c>
      <c r="L10">
        <f t="shared" si="6"/>
        <v>-0.576702990496094</v>
      </c>
      <c r="M10" s="184">
        <f t="shared" si="7"/>
        <v>162</v>
      </c>
    </row>
    <row r="11" spans="1:13">
      <c r="A11" s="175" t="s">
        <v>24</v>
      </c>
      <c r="B11" s="176">
        <v>2522</v>
      </c>
      <c r="C11" s="195">
        <f t="shared" si="2"/>
        <v>2522</v>
      </c>
      <c r="D11" s="176">
        <v>0</v>
      </c>
      <c r="E11" s="176">
        <v>0</v>
      </c>
      <c r="F11" s="202">
        <v>0</v>
      </c>
      <c r="G11" s="201">
        <f t="shared" si="3"/>
        <v>529.62</v>
      </c>
      <c r="H11" s="176">
        <f t="shared" si="4"/>
        <v>264.81</v>
      </c>
      <c r="I11" s="176">
        <f t="shared" si="5"/>
        <v>264.81</v>
      </c>
      <c r="J11" s="176">
        <v>5</v>
      </c>
      <c r="K11">
        <v>247.27</v>
      </c>
      <c r="L11">
        <f t="shared" si="6"/>
        <v>-0.0662361693289528</v>
      </c>
      <c r="M11" s="184">
        <f t="shared" si="7"/>
        <v>213</v>
      </c>
    </row>
    <row r="12" spans="1:13">
      <c r="A12" s="175" t="s">
        <v>25</v>
      </c>
      <c r="B12" s="176">
        <v>2811</v>
      </c>
      <c r="C12" s="195">
        <f t="shared" si="2"/>
        <v>2811</v>
      </c>
      <c r="D12" s="176">
        <v>0</v>
      </c>
      <c r="E12" s="176">
        <v>0</v>
      </c>
      <c r="F12" s="202">
        <v>0</v>
      </c>
      <c r="G12" s="201">
        <f t="shared" si="3"/>
        <v>590.31</v>
      </c>
      <c r="H12" s="176">
        <f t="shared" si="4"/>
        <v>295.16</v>
      </c>
      <c r="I12" s="176">
        <f t="shared" si="5"/>
        <v>295.15</v>
      </c>
      <c r="J12" s="176">
        <v>5</v>
      </c>
      <c r="K12">
        <v>403.78</v>
      </c>
      <c r="L12">
        <f t="shared" si="6"/>
        <v>0.368003794552107</v>
      </c>
      <c r="M12" s="184">
        <f t="shared" si="7"/>
        <v>238</v>
      </c>
    </row>
    <row r="13" spans="1:13">
      <c r="A13" s="175" t="s">
        <v>26</v>
      </c>
      <c r="B13" s="176">
        <v>2456</v>
      </c>
      <c r="C13" s="195">
        <f t="shared" si="2"/>
        <v>2456</v>
      </c>
      <c r="D13" s="176">
        <v>0</v>
      </c>
      <c r="E13" s="176">
        <v>0</v>
      </c>
      <c r="F13" s="202">
        <v>0</v>
      </c>
      <c r="G13" s="201">
        <f t="shared" si="3"/>
        <v>515.76</v>
      </c>
      <c r="H13" s="176">
        <f t="shared" si="4"/>
        <v>412.61</v>
      </c>
      <c r="I13" s="176">
        <f t="shared" si="5"/>
        <v>103.15</v>
      </c>
      <c r="J13" s="176">
        <v>8</v>
      </c>
      <c r="K13">
        <v>325.38</v>
      </c>
      <c r="L13">
        <f t="shared" si="6"/>
        <v>-0.211410290589176</v>
      </c>
      <c r="M13" s="184">
        <f t="shared" si="7"/>
        <v>332</v>
      </c>
    </row>
    <row r="14" spans="1:13">
      <c r="A14" s="175" t="s">
        <v>27</v>
      </c>
      <c r="B14" s="176">
        <v>2085</v>
      </c>
      <c r="C14" s="195">
        <f t="shared" si="2"/>
        <v>2085</v>
      </c>
      <c r="D14" s="176">
        <v>0</v>
      </c>
      <c r="E14" s="176">
        <v>0</v>
      </c>
      <c r="F14" s="202">
        <v>0</v>
      </c>
      <c r="G14" s="201">
        <f t="shared" si="3"/>
        <v>437.85</v>
      </c>
      <c r="H14" s="176">
        <f t="shared" si="4"/>
        <v>262.71</v>
      </c>
      <c r="I14" s="176">
        <f t="shared" si="5"/>
        <v>175.14</v>
      </c>
      <c r="J14" s="176">
        <v>6</v>
      </c>
      <c r="K14">
        <v>387.41</v>
      </c>
      <c r="L14">
        <f t="shared" si="6"/>
        <v>0.474667884739827</v>
      </c>
      <c r="M14" s="184">
        <f t="shared" si="7"/>
        <v>211</v>
      </c>
    </row>
    <row r="15" spans="1:13">
      <c r="A15" s="175" t="s">
        <v>28</v>
      </c>
      <c r="B15" s="176">
        <v>2419</v>
      </c>
      <c r="C15" s="195">
        <f t="shared" si="2"/>
        <v>2419</v>
      </c>
      <c r="D15" s="176">
        <v>0</v>
      </c>
      <c r="E15" s="176">
        <v>0</v>
      </c>
      <c r="F15" s="202">
        <v>0</v>
      </c>
      <c r="G15" s="201">
        <f t="shared" si="3"/>
        <v>507.99</v>
      </c>
      <c r="H15" s="176">
        <f t="shared" si="4"/>
        <v>431.79</v>
      </c>
      <c r="I15" s="176">
        <f t="shared" si="5"/>
        <v>76.2</v>
      </c>
      <c r="J15" s="176">
        <v>8.5</v>
      </c>
      <c r="K15">
        <v>427.4</v>
      </c>
      <c r="L15">
        <f t="shared" si="6"/>
        <v>-0.0101669793186504</v>
      </c>
      <c r="M15" s="184">
        <f t="shared" si="7"/>
        <v>347</v>
      </c>
    </row>
    <row r="16" spans="1:13">
      <c r="A16" s="175" t="s">
        <v>29</v>
      </c>
      <c r="B16" s="176">
        <v>10466</v>
      </c>
      <c r="C16" s="195">
        <f t="shared" si="2"/>
        <v>10370</v>
      </c>
      <c r="D16" s="176">
        <v>96</v>
      </c>
      <c r="E16" s="176">
        <v>0</v>
      </c>
      <c r="F16" s="202">
        <v>0</v>
      </c>
      <c r="G16" s="201">
        <f t="shared" si="3"/>
        <v>2200.74</v>
      </c>
      <c r="H16" s="176">
        <f t="shared" si="4"/>
        <v>1111.89</v>
      </c>
      <c r="I16" s="176">
        <f t="shared" si="5"/>
        <v>1088.85</v>
      </c>
      <c r="J16" s="176">
        <v>5</v>
      </c>
      <c r="K16">
        <v>938.62</v>
      </c>
      <c r="L16">
        <f t="shared" si="6"/>
        <v>-0.155833760533866</v>
      </c>
      <c r="M16" s="184">
        <f t="shared" si="7"/>
        <v>893</v>
      </c>
    </row>
    <row r="17" spans="1:13">
      <c r="A17" s="175" t="s">
        <v>30</v>
      </c>
      <c r="B17" s="176">
        <v>4862</v>
      </c>
      <c r="C17" s="195">
        <f t="shared" si="2"/>
        <v>4862</v>
      </c>
      <c r="D17" s="176">
        <v>0</v>
      </c>
      <c r="E17" s="176">
        <v>0</v>
      </c>
      <c r="F17" s="202">
        <v>0</v>
      </c>
      <c r="G17" s="201">
        <f t="shared" si="3"/>
        <v>1021.02</v>
      </c>
      <c r="H17" s="176">
        <f t="shared" si="4"/>
        <v>510.51</v>
      </c>
      <c r="I17" s="176">
        <f t="shared" si="5"/>
        <v>510.51</v>
      </c>
      <c r="J17" s="176">
        <v>5</v>
      </c>
      <c r="K17">
        <v>429.81</v>
      </c>
      <c r="L17">
        <f t="shared" si="6"/>
        <v>-0.158077216900746</v>
      </c>
      <c r="M17" s="184">
        <f t="shared" si="7"/>
        <v>410</v>
      </c>
    </row>
    <row r="18" spans="1:13">
      <c r="A18" s="175" t="s">
        <v>122</v>
      </c>
      <c r="B18" s="176">
        <v>1263</v>
      </c>
      <c r="C18" s="195">
        <f t="shared" si="2"/>
        <v>1263</v>
      </c>
      <c r="D18" s="176">
        <v>0</v>
      </c>
      <c r="E18" s="176">
        <v>0</v>
      </c>
      <c r="F18" s="202">
        <v>0</v>
      </c>
      <c r="G18" s="201">
        <f t="shared" si="3"/>
        <v>265.23</v>
      </c>
      <c r="H18" s="176">
        <f t="shared" si="4"/>
        <v>132.62</v>
      </c>
      <c r="I18" s="176">
        <f t="shared" si="5"/>
        <v>132.61</v>
      </c>
      <c r="J18" s="176">
        <v>5</v>
      </c>
      <c r="K18">
        <v>123.85</v>
      </c>
      <c r="L18">
        <f t="shared" si="6"/>
        <v>-0.0661287890212638</v>
      </c>
      <c r="M18" s="184">
        <f t="shared" si="7"/>
        <v>107</v>
      </c>
    </row>
    <row r="19" spans="1:13">
      <c r="A19" s="173" t="s">
        <v>31</v>
      </c>
      <c r="B19" s="178">
        <f t="shared" ref="B19:I19" si="8">SUM(B20:B25)</f>
        <v>26350</v>
      </c>
      <c r="C19" s="178">
        <f t="shared" si="8"/>
        <v>24530</v>
      </c>
      <c r="D19" s="178">
        <v>0</v>
      </c>
      <c r="E19" s="178">
        <f t="shared" si="8"/>
        <v>1450</v>
      </c>
      <c r="F19" s="199">
        <f t="shared" si="8"/>
        <v>370</v>
      </c>
      <c r="G19" s="174">
        <f t="shared" si="8"/>
        <v>5719.5</v>
      </c>
      <c r="H19" s="174">
        <f t="shared" si="8"/>
        <v>3635.07</v>
      </c>
      <c r="I19" s="174">
        <f t="shared" si="8"/>
        <v>2084.43</v>
      </c>
      <c r="J19" s="177"/>
      <c r="K19">
        <v>3834.39</v>
      </c>
      <c r="L19">
        <f t="shared" si="6"/>
        <v>0.0548325066642459</v>
      </c>
      <c r="M19" s="174">
        <f>SUM(M20:M25)</f>
        <v>2923</v>
      </c>
    </row>
    <row r="20" spans="1:13">
      <c r="A20" s="175" t="s">
        <v>32</v>
      </c>
      <c r="B20" s="176">
        <v>10995</v>
      </c>
      <c r="C20" s="195">
        <f t="shared" ref="C20:C25" si="9">B20-D20-E20-F20</f>
        <v>9175</v>
      </c>
      <c r="D20" s="176">
        <v>0</v>
      </c>
      <c r="E20" s="176">
        <v>1450</v>
      </c>
      <c r="F20" s="200">
        <v>370</v>
      </c>
      <c r="G20" s="201">
        <f t="shared" ref="G20:G25" si="10">C20*0.21+E20*0.3+F20*0.36+D20*0.24</f>
        <v>2494.95</v>
      </c>
      <c r="H20" s="176">
        <f t="shared" ref="H20:H25" si="11">ROUND(((C20)*0.21+(E20)*0.3+(F20)*0.36)*J20/10+D20*0.24,2)</f>
        <v>1496.97</v>
      </c>
      <c r="I20" s="176">
        <f t="shared" ref="I20:I25" si="12">G20-H20</f>
        <v>997.98</v>
      </c>
      <c r="J20" s="176">
        <v>6</v>
      </c>
      <c r="K20">
        <v>1570.84</v>
      </c>
      <c r="L20">
        <f t="shared" si="6"/>
        <v>0.0493463462861646</v>
      </c>
      <c r="M20" s="184">
        <f t="shared" ref="M20:M25" si="13">ROUNDUP(H20*0.803,0)</f>
        <v>1203</v>
      </c>
    </row>
    <row r="21" spans="1:13">
      <c r="A21" s="175" t="s">
        <v>33</v>
      </c>
      <c r="B21" s="176">
        <v>3116</v>
      </c>
      <c r="C21" s="195">
        <f t="shared" si="9"/>
        <v>3116</v>
      </c>
      <c r="D21" s="176">
        <v>0</v>
      </c>
      <c r="E21" s="176">
        <v>0</v>
      </c>
      <c r="F21" s="202">
        <v>0</v>
      </c>
      <c r="G21" s="201">
        <f t="shared" si="10"/>
        <v>654.36</v>
      </c>
      <c r="H21" s="176">
        <f t="shared" si="11"/>
        <v>392.62</v>
      </c>
      <c r="I21" s="176">
        <f t="shared" si="12"/>
        <v>261.74</v>
      </c>
      <c r="J21" s="176">
        <v>6</v>
      </c>
      <c r="K21">
        <v>412.71</v>
      </c>
      <c r="L21">
        <f t="shared" si="6"/>
        <v>0.0511690693291222</v>
      </c>
      <c r="M21" s="184">
        <f t="shared" si="13"/>
        <v>316</v>
      </c>
    </row>
    <row r="22" spans="1:13">
      <c r="A22" s="175" t="s">
        <v>34</v>
      </c>
      <c r="B22" s="176">
        <v>3647</v>
      </c>
      <c r="C22" s="195">
        <f t="shared" si="9"/>
        <v>3647</v>
      </c>
      <c r="D22" s="176">
        <v>0</v>
      </c>
      <c r="E22" s="176">
        <v>0</v>
      </c>
      <c r="F22" s="202">
        <v>0</v>
      </c>
      <c r="G22" s="201">
        <f t="shared" si="10"/>
        <v>765.87</v>
      </c>
      <c r="H22" s="176">
        <f t="shared" si="11"/>
        <v>459.52</v>
      </c>
      <c r="I22" s="176">
        <f t="shared" si="12"/>
        <v>306.35</v>
      </c>
      <c r="J22" s="176">
        <v>6</v>
      </c>
      <c r="K22">
        <v>498.28</v>
      </c>
      <c r="L22">
        <f t="shared" si="6"/>
        <v>0.0843488857938719</v>
      </c>
      <c r="M22" s="184">
        <f t="shared" si="13"/>
        <v>369</v>
      </c>
    </row>
    <row r="23" spans="1:13">
      <c r="A23" s="175" t="s">
        <v>35</v>
      </c>
      <c r="B23" s="176">
        <v>1631</v>
      </c>
      <c r="C23" s="195">
        <f t="shared" si="9"/>
        <v>1631</v>
      </c>
      <c r="D23" s="176">
        <v>0</v>
      </c>
      <c r="E23" s="176">
        <v>0</v>
      </c>
      <c r="F23" s="202">
        <v>0</v>
      </c>
      <c r="G23" s="201">
        <f t="shared" si="10"/>
        <v>342.51</v>
      </c>
      <c r="H23" s="176">
        <f t="shared" si="11"/>
        <v>205.51</v>
      </c>
      <c r="I23" s="176">
        <f t="shared" si="12"/>
        <v>137</v>
      </c>
      <c r="J23" s="176">
        <v>6</v>
      </c>
      <c r="K23">
        <v>217.06</v>
      </c>
      <c r="L23">
        <f t="shared" si="6"/>
        <v>0.056201644688823</v>
      </c>
      <c r="M23" s="184">
        <f t="shared" si="13"/>
        <v>166</v>
      </c>
    </row>
    <row r="24" spans="1:13">
      <c r="A24" s="175" t="s">
        <v>36</v>
      </c>
      <c r="B24" s="176">
        <v>2119</v>
      </c>
      <c r="C24" s="195">
        <f t="shared" si="9"/>
        <v>2119</v>
      </c>
      <c r="D24" s="176">
        <v>0</v>
      </c>
      <c r="E24" s="176">
        <v>0</v>
      </c>
      <c r="F24" s="202">
        <v>0</v>
      </c>
      <c r="G24" s="201">
        <f t="shared" si="10"/>
        <v>444.99</v>
      </c>
      <c r="H24" s="176">
        <f t="shared" si="11"/>
        <v>266.99</v>
      </c>
      <c r="I24" s="176">
        <f t="shared" si="12"/>
        <v>178</v>
      </c>
      <c r="J24" s="176">
        <v>6</v>
      </c>
      <c r="K24">
        <v>281.39</v>
      </c>
      <c r="L24">
        <f t="shared" si="6"/>
        <v>0.0539346042922955</v>
      </c>
      <c r="M24" s="184">
        <f t="shared" si="13"/>
        <v>215</v>
      </c>
    </row>
    <row r="25" spans="1:13">
      <c r="A25" s="175" t="s">
        <v>37</v>
      </c>
      <c r="B25" s="176">
        <v>4842</v>
      </c>
      <c r="C25" s="195">
        <f t="shared" si="9"/>
        <v>4842</v>
      </c>
      <c r="D25" s="176">
        <v>0</v>
      </c>
      <c r="E25" s="176">
        <v>0</v>
      </c>
      <c r="F25" s="202">
        <v>0</v>
      </c>
      <c r="G25" s="201">
        <f t="shared" si="10"/>
        <v>1016.82</v>
      </c>
      <c r="H25" s="176">
        <f t="shared" si="11"/>
        <v>813.46</v>
      </c>
      <c r="I25" s="176">
        <f t="shared" si="12"/>
        <v>203.36</v>
      </c>
      <c r="J25" s="176">
        <v>8</v>
      </c>
      <c r="K25">
        <v>854.11</v>
      </c>
      <c r="L25">
        <f t="shared" si="6"/>
        <v>0.0499717257148477</v>
      </c>
      <c r="M25" s="184">
        <f t="shared" si="13"/>
        <v>654</v>
      </c>
    </row>
    <row r="26" spans="1:13">
      <c r="A26" s="173" t="s">
        <v>38</v>
      </c>
      <c r="B26" s="178">
        <f t="shared" ref="B26:I26" si="14">SUM(B27:B35)</f>
        <v>15365</v>
      </c>
      <c r="C26" s="178">
        <f t="shared" si="14"/>
        <v>13369</v>
      </c>
      <c r="D26" s="178">
        <f t="shared" si="14"/>
        <v>735</v>
      </c>
      <c r="E26" s="178">
        <f t="shared" si="14"/>
        <v>1261</v>
      </c>
      <c r="F26" s="199">
        <f t="shared" si="14"/>
        <v>0</v>
      </c>
      <c r="G26" s="174">
        <f t="shared" si="14"/>
        <v>3362.19</v>
      </c>
      <c r="H26" s="174">
        <f t="shared" si="14"/>
        <v>2828.02</v>
      </c>
      <c r="I26" s="174">
        <f t="shared" si="14"/>
        <v>534.17</v>
      </c>
      <c r="J26" s="177"/>
      <c r="K26">
        <v>2692.57</v>
      </c>
      <c r="L26">
        <f t="shared" si="6"/>
        <v>-0.0478957008790602</v>
      </c>
      <c r="M26" s="174">
        <f>SUM(M27:M35)</f>
        <v>2275</v>
      </c>
    </row>
    <row r="27" spans="1:13">
      <c r="A27" s="175" t="s">
        <v>39</v>
      </c>
      <c r="B27" s="176">
        <v>4496</v>
      </c>
      <c r="C27" s="195">
        <f t="shared" ref="C27:C35" si="15">B27-D27-E27-F27</f>
        <v>3235</v>
      </c>
      <c r="D27" s="176">
        <v>0</v>
      </c>
      <c r="E27" s="176">
        <v>1261</v>
      </c>
      <c r="F27" s="202">
        <v>0</v>
      </c>
      <c r="G27" s="201">
        <f t="shared" ref="G27:G35" si="16">C27*0.21+E27*0.3+F27*0.36+D27*0.24</f>
        <v>1057.65</v>
      </c>
      <c r="H27" s="176">
        <f t="shared" ref="H27:H35" si="17">ROUND(((C27)*0.21+(E27)*0.3+(F27)*0.36)*J27/10+D27*0.24,2)</f>
        <v>846.12</v>
      </c>
      <c r="I27" s="176">
        <f t="shared" ref="I27:I35" si="18">G27-H27</f>
        <v>211.53</v>
      </c>
      <c r="J27" s="176">
        <v>8</v>
      </c>
      <c r="K27">
        <v>809.42</v>
      </c>
      <c r="L27">
        <f t="shared" si="6"/>
        <v>-0.0433744622512174</v>
      </c>
      <c r="M27" s="184">
        <f t="shared" ref="M27:M35" si="19">ROUNDUP(H27*0.803,0)</f>
        <v>680</v>
      </c>
    </row>
    <row r="28" spans="1:13">
      <c r="A28" s="175" t="s">
        <v>40</v>
      </c>
      <c r="B28" s="176">
        <v>634</v>
      </c>
      <c r="C28" s="195">
        <f t="shared" si="15"/>
        <v>634</v>
      </c>
      <c r="D28" s="176">
        <v>0</v>
      </c>
      <c r="E28" s="176">
        <v>0</v>
      </c>
      <c r="F28" s="202">
        <v>0</v>
      </c>
      <c r="G28" s="201">
        <f t="shared" si="16"/>
        <v>133.14</v>
      </c>
      <c r="H28" s="176">
        <f t="shared" si="17"/>
        <v>113.17</v>
      </c>
      <c r="I28" s="176">
        <f t="shared" si="18"/>
        <v>19.97</v>
      </c>
      <c r="J28" s="176">
        <v>8.5</v>
      </c>
      <c r="K28">
        <v>112.15</v>
      </c>
      <c r="L28">
        <f t="shared" si="6"/>
        <v>-0.00901298930812049</v>
      </c>
      <c r="M28" s="184">
        <f t="shared" si="19"/>
        <v>91</v>
      </c>
    </row>
    <row r="29" spans="1:13">
      <c r="A29" s="175" t="s">
        <v>41</v>
      </c>
      <c r="B29" s="176">
        <v>1044</v>
      </c>
      <c r="C29" s="195">
        <f t="shared" si="15"/>
        <v>1044</v>
      </c>
      <c r="D29" s="176">
        <v>0</v>
      </c>
      <c r="E29" s="176">
        <v>0</v>
      </c>
      <c r="F29" s="202">
        <v>0</v>
      </c>
      <c r="G29" s="201">
        <f t="shared" si="16"/>
        <v>219.24</v>
      </c>
      <c r="H29" s="176">
        <f t="shared" si="17"/>
        <v>186.35</v>
      </c>
      <c r="I29" s="176">
        <f t="shared" si="18"/>
        <v>32.89</v>
      </c>
      <c r="J29" s="176">
        <v>8.5</v>
      </c>
      <c r="K29">
        <v>184.64</v>
      </c>
      <c r="L29">
        <f t="shared" si="6"/>
        <v>-0.00917628119130672</v>
      </c>
      <c r="M29" s="184">
        <f t="shared" si="19"/>
        <v>150</v>
      </c>
    </row>
    <row r="30" spans="1:13">
      <c r="A30" s="175" t="s">
        <v>42</v>
      </c>
      <c r="B30" s="176">
        <v>2594</v>
      </c>
      <c r="C30" s="195">
        <f t="shared" si="15"/>
        <v>2293</v>
      </c>
      <c r="D30" s="176">
        <v>301</v>
      </c>
      <c r="E30" s="176">
        <v>0</v>
      </c>
      <c r="F30" s="202">
        <v>0</v>
      </c>
      <c r="G30" s="201">
        <f t="shared" si="16"/>
        <v>553.77</v>
      </c>
      <c r="H30" s="176">
        <f t="shared" si="17"/>
        <v>505.62</v>
      </c>
      <c r="I30" s="176">
        <f t="shared" si="18"/>
        <v>48.15</v>
      </c>
      <c r="J30" s="176">
        <v>9</v>
      </c>
      <c r="K30">
        <v>531.24</v>
      </c>
      <c r="L30">
        <f t="shared" si="6"/>
        <v>0.0506704639848107</v>
      </c>
      <c r="M30" s="184">
        <f t="shared" si="19"/>
        <v>407</v>
      </c>
    </row>
    <row r="31" spans="1:13">
      <c r="A31" s="175" t="s">
        <v>43</v>
      </c>
      <c r="B31" s="176">
        <v>1462</v>
      </c>
      <c r="C31" s="195">
        <f t="shared" si="15"/>
        <v>1462</v>
      </c>
      <c r="D31" s="176">
        <v>0</v>
      </c>
      <c r="E31" s="176">
        <v>0</v>
      </c>
      <c r="F31" s="202">
        <v>0</v>
      </c>
      <c r="G31" s="201">
        <f t="shared" si="16"/>
        <v>307.02</v>
      </c>
      <c r="H31" s="176">
        <f t="shared" si="17"/>
        <v>260.97</v>
      </c>
      <c r="I31" s="176">
        <f t="shared" si="18"/>
        <v>46.05</v>
      </c>
      <c r="J31" s="176">
        <v>8.5</v>
      </c>
      <c r="K31">
        <v>342.09</v>
      </c>
      <c r="L31">
        <f t="shared" si="6"/>
        <v>0.310840326474307</v>
      </c>
      <c r="M31" s="184">
        <f t="shared" si="19"/>
        <v>210</v>
      </c>
    </row>
    <row r="32" spans="1:13">
      <c r="A32" s="175" t="s">
        <v>45</v>
      </c>
      <c r="B32" s="176">
        <v>594</v>
      </c>
      <c r="C32" s="195">
        <f t="shared" si="15"/>
        <v>451</v>
      </c>
      <c r="D32" s="176">
        <v>143</v>
      </c>
      <c r="E32" s="176">
        <v>0</v>
      </c>
      <c r="F32" s="202">
        <v>0</v>
      </c>
      <c r="G32" s="201">
        <f t="shared" si="16"/>
        <v>129.03</v>
      </c>
      <c r="H32" s="176">
        <f t="shared" si="17"/>
        <v>110.09</v>
      </c>
      <c r="I32" s="176">
        <f t="shared" si="18"/>
        <v>18.94</v>
      </c>
      <c r="J32" s="176">
        <v>8</v>
      </c>
      <c r="K32">
        <v>115.89</v>
      </c>
      <c r="L32">
        <f t="shared" si="6"/>
        <v>0.0526841674993187</v>
      </c>
      <c r="M32" s="184">
        <f t="shared" si="19"/>
        <v>89</v>
      </c>
    </row>
    <row r="33" spans="1:13">
      <c r="A33" s="175" t="s">
        <v>46</v>
      </c>
      <c r="B33" s="176">
        <v>1041</v>
      </c>
      <c r="C33" s="195">
        <f t="shared" si="15"/>
        <v>1041</v>
      </c>
      <c r="D33" s="176">
        <v>0</v>
      </c>
      <c r="E33" s="176">
        <v>0</v>
      </c>
      <c r="F33" s="202">
        <v>0</v>
      </c>
      <c r="G33" s="201">
        <f t="shared" si="16"/>
        <v>218.61</v>
      </c>
      <c r="H33" s="176">
        <f t="shared" si="17"/>
        <v>196.75</v>
      </c>
      <c r="I33" s="176">
        <f t="shared" si="18"/>
        <v>21.86</v>
      </c>
      <c r="J33" s="176">
        <v>9</v>
      </c>
      <c r="K33">
        <v>184.18</v>
      </c>
      <c r="L33">
        <f t="shared" si="6"/>
        <v>-0.0638881829733164</v>
      </c>
      <c r="M33" s="184">
        <f t="shared" si="19"/>
        <v>158</v>
      </c>
    </row>
    <row r="34" spans="1:13">
      <c r="A34" s="175" t="s">
        <v>47</v>
      </c>
      <c r="B34" s="176">
        <v>618</v>
      </c>
      <c r="C34" s="195">
        <f t="shared" si="15"/>
        <v>618</v>
      </c>
      <c r="D34" s="176">
        <v>0</v>
      </c>
      <c r="E34" s="176">
        <v>0</v>
      </c>
      <c r="F34" s="202">
        <v>0</v>
      </c>
      <c r="G34" s="201">
        <f t="shared" si="16"/>
        <v>129.78</v>
      </c>
      <c r="H34" s="176">
        <f t="shared" si="17"/>
        <v>103.82</v>
      </c>
      <c r="I34" s="176">
        <f t="shared" si="18"/>
        <v>25.96</v>
      </c>
      <c r="J34" s="176">
        <v>8</v>
      </c>
      <c r="K34">
        <v>110.13</v>
      </c>
      <c r="L34">
        <f t="shared" si="6"/>
        <v>0.0607782700828357</v>
      </c>
      <c r="M34" s="184">
        <f t="shared" si="19"/>
        <v>84</v>
      </c>
    </row>
    <row r="35" spans="1:13">
      <c r="A35" s="175" t="s">
        <v>48</v>
      </c>
      <c r="B35" s="176">
        <v>2882</v>
      </c>
      <c r="C35" s="195">
        <f t="shared" si="15"/>
        <v>2591</v>
      </c>
      <c r="D35" s="176">
        <v>291</v>
      </c>
      <c r="E35" s="176">
        <v>0</v>
      </c>
      <c r="F35" s="202">
        <v>0</v>
      </c>
      <c r="G35" s="201">
        <f t="shared" si="16"/>
        <v>613.95</v>
      </c>
      <c r="H35" s="176">
        <f t="shared" si="17"/>
        <v>505.13</v>
      </c>
      <c r="I35" s="176">
        <f t="shared" si="18"/>
        <v>108.82</v>
      </c>
      <c r="J35" s="176">
        <v>8</v>
      </c>
      <c r="K35">
        <v>302.83</v>
      </c>
      <c r="L35">
        <f t="shared" si="6"/>
        <v>-0.400490962722468</v>
      </c>
      <c r="M35" s="184">
        <f t="shared" si="19"/>
        <v>406</v>
      </c>
    </row>
    <row r="36" spans="1:13">
      <c r="A36" s="173" t="s">
        <v>49</v>
      </c>
      <c r="B36" s="178">
        <f t="shared" ref="B36:I36" si="20">SUM(B37:B48)</f>
        <v>78109</v>
      </c>
      <c r="C36" s="178">
        <f t="shared" si="20"/>
        <v>75976</v>
      </c>
      <c r="D36" s="178">
        <f t="shared" si="20"/>
        <v>1152</v>
      </c>
      <c r="E36" s="178">
        <f t="shared" si="20"/>
        <v>487</v>
      </c>
      <c r="F36" s="199">
        <f t="shared" si="20"/>
        <v>494</v>
      </c>
      <c r="G36" s="174">
        <f t="shared" si="20"/>
        <v>16555.38</v>
      </c>
      <c r="H36" s="174">
        <f t="shared" si="20"/>
        <v>10452.21</v>
      </c>
      <c r="I36" s="174">
        <f t="shared" si="20"/>
        <v>6103.17</v>
      </c>
      <c r="J36" s="178"/>
      <c r="K36">
        <v>7425.97</v>
      </c>
      <c r="L36">
        <f t="shared" si="6"/>
        <v>-0.289531113515706</v>
      </c>
      <c r="M36" s="174">
        <f>SUM(M37:M48)</f>
        <v>8397</v>
      </c>
    </row>
    <row r="37" spans="1:13">
      <c r="A37" s="175" t="s">
        <v>50</v>
      </c>
      <c r="B37" s="176">
        <v>13312</v>
      </c>
      <c r="C37" s="195">
        <f t="shared" ref="C37:C48" si="21">B37-D37-E37-F37</f>
        <v>11416</v>
      </c>
      <c r="D37" s="176">
        <v>915</v>
      </c>
      <c r="E37" s="176">
        <v>487</v>
      </c>
      <c r="F37" s="200">
        <v>494</v>
      </c>
      <c r="G37" s="201">
        <f t="shared" ref="G37:G48" si="22">C37*0.21+E37*0.3+F37*0.36+D37*0.24</f>
        <v>2940.9</v>
      </c>
      <c r="H37" s="176">
        <f t="shared" ref="H37:H48" si="23">ROUND(((C37)*0.21+(E37)*0.3+(F37)*0.36)*J37/10+D37*0.24,2)</f>
        <v>1580.25</v>
      </c>
      <c r="I37" s="176">
        <f t="shared" ref="I37:I48" si="24">G37-H37</f>
        <v>1360.65</v>
      </c>
      <c r="J37" s="176">
        <v>5</v>
      </c>
      <c r="K37">
        <v>802.39</v>
      </c>
      <c r="L37">
        <f t="shared" si="6"/>
        <v>-0.492238569846543</v>
      </c>
      <c r="M37" s="184">
        <f t="shared" ref="M37:M48" si="25">ROUNDUP(H37*0.803,0)</f>
        <v>1269</v>
      </c>
    </row>
    <row r="38" spans="1:13">
      <c r="A38" s="175" t="s">
        <v>51</v>
      </c>
      <c r="B38" s="176">
        <v>1707</v>
      </c>
      <c r="C38" s="195">
        <f t="shared" si="21"/>
        <v>1707</v>
      </c>
      <c r="D38" s="176">
        <v>0</v>
      </c>
      <c r="E38" s="176">
        <v>0</v>
      </c>
      <c r="F38" s="202">
        <v>0</v>
      </c>
      <c r="G38" s="201">
        <f t="shared" si="22"/>
        <v>358.47</v>
      </c>
      <c r="H38" s="176">
        <f t="shared" si="23"/>
        <v>179.24</v>
      </c>
      <c r="I38" s="176">
        <f t="shared" si="24"/>
        <v>179.23</v>
      </c>
      <c r="J38" s="176">
        <v>5</v>
      </c>
      <c r="K38">
        <v>75.98</v>
      </c>
      <c r="L38">
        <f t="shared" si="6"/>
        <v>-0.576099085025664</v>
      </c>
      <c r="M38" s="184">
        <f t="shared" si="25"/>
        <v>144</v>
      </c>
    </row>
    <row r="39" spans="1:13">
      <c r="A39" s="175" t="s">
        <v>52</v>
      </c>
      <c r="B39" s="176">
        <v>6305</v>
      </c>
      <c r="C39" s="195">
        <f t="shared" si="21"/>
        <v>6305</v>
      </c>
      <c r="D39" s="176">
        <v>0</v>
      </c>
      <c r="E39" s="176">
        <v>0</v>
      </c>
      <c r="F39" s="202">
        <v>0</v>
      </c>
      <c r="G39" s="201">
        <f t="shared" si="22"/>
        <v>1324.05</v>
      </c>
      <c r="H39" s="176">
        <f t="shared" si="23"/>
        <v>662.03</v>
      </c>
      <c r="I39" s="176">
        <f t="shared" si="24"/>
        <v>662.02</v>
      </c>
      <c r="J39" s="176">
        <v>5</v>
      </c>
      <c r="K39">
        <v>373.61</v>
      </c>
      <c r="L39">
        <f t="shared" si="6"/>
        <v>-0.435660015407157</v>
      </c>
      <c r="M39" s="184">
        <f t="shared" si="25"/>
        <v>532</v>
      </c>
    </row>
    <row r="40" spans="1:13">
      <c r="A40" s="175" t="s">
        <v>53</v>
      </c>
      <c r="B40" s="176">
        <v>1575</v>
      </c>
      <c r="C40" s="195">
        <f t="shared" si="21"/>
        <v>1575</v>
      </c>
      <c r="D40" s="176">
        <v>0</v>
      </c>
      <c r="E40" s="176">
        <v>0</v>
      </c>
      <c r="F40" s="202">
        <v>0</v>
      </c>
      <c r="G40" s="201">
        <f t="shared" si="22"/>
        <v>330.75</v>
      </c>
      <c r="H40" s="176">
        <f t="shared" si="23"/>
        <v>165.38</v>
      </c>
      <c r="I40" s="176">
        <f t="shared" si="24"/>
        <v>165.37</v>
      </c>
      <c r="J40" s="176">
        <v>5</v>
      </c>
      <c r="K40">
        <v>70.08</v>
      </c>
      <c r="L40">
        <f t="shared" si="6"/>
        <v>-0.576248639496916</v>
      </c>
      <c r="M40" s="184">
        <f t="shared" si="25"/>
        <v>133</v>
      </c>
    </row>
    <row r="41" spans="1:13">
      <c r="A41" s="175" t="s">
        <v>54</v>
      </c>
      <c r="B41" s="176">
        <v>6061</v>
      </c>
      <c r="C41" s="195">
        <f t="shared" si="21"/>
        <v>5999</v>
      </c>
      <c r="D41" s="176">
        <v>62</v>
      </c>
      <c r="E41" s="176">
        <v>0</v>
      </c>
      <c r="F41" s="202">
        <v>0</v>
      </c>
      <c r="G41" s="201">
        <f t="shared" si="22"/>
        <v>1274.67</v>
      </c>
      <c r="H41" s="176">
        <f t="shared" si="23"/>
        <v>770.75</v>
      </c>
      <c r="I41" s="176">
        <f t="shared" si="24"/>
        <v>503.92</v>
      </c>
      <c r="J41" s="176">
        <v>6</v>
      </c>
      <c r="K41">
        <v>545.46</v>
      </c>
      <c r="L41">
        <f t="shared" si="6"/>
        <v>-0.292299708076549</v>
      </c>
      <c r="M41" s="184">
        <f t="shared" si="25"/>
        <v>619</v>
      </c>
    </row>
    <row r="42" spans="1:13">
      <c r="A42" s="175" t="s">
        <v>55</v>
      </c>
      <c r="B42" s="176">
        <v>9730</v>
      </c>
      <c r="C42" s="195">
        <f t="shared" si="21"/>
        <v>9555</v>
      </c>
      <c r="D42" s="176">
        <v>175</v>
      </c>
      <c r="E42" s="176">
        <v>0</v>
      </c>
      <c r="F42" s="202">
        <v>0</v>
      </c>
      <c r="G42" s="201">
        <f t="shared" si="22"/>
        <v>2048.55</v>
      </c>
      <c r="H42" s="176">
        <f t="shared" si="23"/>
        <v>1747.57</v>
      </c>
      <c r="I42" s="176">
        <f t="shared" si="24"/>
        <v>300.98</v>
      </c>
      <c r="J42" s="176">
        <v>8.5</v>
      </c>
      <c r="K42">
        <v>1728.69</v>
      </c>
      <c r="L42">
        <f t="shared" si="6"/>
        <v>-0.0108035729613119</v>
      </c>
      <c r="M42" s="184">
        <f t="shared" si="25"/>
        <v>1404</v>
      </c>
    </row>
    <row r="43" spans="1:13">
      <c r="A43" s="175" t="s">
        <v>56</v>
      </c>
      <c r="B43" s="176">
        <v>3075</v>
      </c>
      <c r="C43" s="195">
        <f t="shared" si="21"/>
        <v>3075</v>
      </c>
      <c r="D43" s="176">
        <v>0</v>
      </c>
      <c r="E43" s="176">
        <v>0</v>
      </c>
      <c r="F43" s="202">
        <v>0</v>
      </c>
      <c r="G43" s="201">
        <f t="shared" si="22"/>
        <v>645.75</v>
      </c>
      <c r="H43" s="176">
        <f t="shared" si="23"/>
        <v>581.18</v>
      </c>
      <c r="I43" s="176">
        <f t="shared" si="24"/>
        <v>64.57</v>
      </c>
      <c r="J43" s="176">
        <v>9</v>
      </c>
      <c r="K43">
        <v>543.01</v>
      </c>
      <c r="L43">
        <f t="shared" si="6"/>
        <v>-0.0656767266595546</v>
      </c>
      <c r="M43" s="184">
        <f t="shared" si="25"/>
        <v>467</v>
      </c>
    </row>
    <row r="44" spans="1:13">
      <c r="A44" s="175" t="s">
        <v>57</v>
      </c>
      <c r="B44" s="176">
        <v>2996</v>
      </c>
      <c r="C44" s="195">
        <f t="shared" si="21"/>
        <v>2996</v>
      </c>
      <c r="D44" s="176">
        <v>0</v>
      </c>
      <c r="E44" s="176">
        <v>0</v>
      </c>
      <c r="F44" s="202">
        <v>0</v>
      </c>
      <c r="G44" s="201">
        <f t="shared" si="22"/>
        <v>629.16</v>
      </c>
      <c r="H44" s="176">
        <f t="shared" si="23"/>
        <v>534.79</v>
      </c>
      <c r="I44" s="176">
        <f t="shared" si="24"/>
        <v>94.37</v>
      </c>
      <c r="J44" s="176">
        <v>8.5</v>
      </c>
      <c r="K44">
        <v>528.69</v>
      </c>
      <c r="L44">
        <f t="shared" si="6"/>
        <v>-0.0114063464163502</v>
      </c>
      <c r="M44" s="184">
        <f t="shared" si="25"/>
        <v>430</v>
      </c>
    </row>
    <row r="45" spans="1:13">
      <c r="A45" s="175" t="s">
        <v>58</v>
      </c>
      <c r="B45" s="176">
        <v>3378</v>
      </c>
      <c r="C45" s="195">
        <f t="shared" si="21"/>
        <v>3378</v>
      </c>
      <c r="D45" s="176">
        <v>0</v>
      </c>
      <c r="E45" s="176">
        <v>0</v>
      </c>
      <c r="F45" s="202">
        <v>0</v>
      </c>
      <c r="G45" s="201">
        <f t="shared" si="22"/>
        <v>709.38</v>
      </c>
      <c r="H45" s="176">
        <f t="shared" si="23"/>
        <v>354.69</v>
      </c>
      <c r="I45" s="176">
        <f t="shared" si="24"/>
        <v>354.69</v>
      </c>
      <c r="J45" s="176">
        <v>5</v>
      </c>
      <c r="K45">
        <v>150.16</v>
      </c>
      <c r="L45">
        <f t="shared" si="6"/>
        <v>-0.576644393695903</v>
      </c>
      <c r="M45" s="184">
        <f t="shared" si="25"/>
        <v>285</v>
      </c>
    </row>
    <row r="46" spans="1:13">
      <c r="A46" s="175" t="s">
        <v>59</v>
      </c>
      <c r="B46" s="176">
        <v>16769</v>
      </c>
      <c r="C46" s="195">
        <f t="shared" si="21"/>
        <v>16769</v>
      </c>
      <c r="D46" s="176">
        <v>0</v>
      </c>
      <c r="E46" s="176">
        <v>0</v>
      </c>
      <c r="F46" s="202">
        <v>0</v>
      </c>
      <c r="G46" s="201">
        <f t="shared" si="22"/>
        <v>3521.49</v>
      </c>
      <c r="H46" s="176">
        <f t="shared" si="23"/>
        <v>1760.75</v>
      </c>
      <c r="I46" s="176">
        <f t="shared" si="24"/>
        <v>1760.74</v>
      </c>
      <c r="J46" s="176">
        <v>5</v>
      </c>
      <c r="K46">
        <v>739.42</v>
      </c>
      <c r="L46">
        <f t="shared" si="6"/>
        <v>-0.580053954280846</v>
      </c>
      <c r="M46" s="184">
        <f t="shared" si="25"/>
        <v>1414</v>
      </c>
    </row>
    <row r="47" spans="1:13">
      <c r="A47" s="175" t="s">
        <v>60</v>
      </c>
      <c r="B47" s="176">
        <v>11579</v>
      </c>
      <c r="C47" s="195">
        <f t="shared" si="21"/>
        <v>11579</v>
      </c>
      <c r="D47" s="176">
        <v>0</v>
      </c>
      <c r="E47" s="176">
        <v>0</v>
      </c>
      <c r="F47" s="202">
        <v>0</v>
      </c>
      <c r="G47" s="201">
        <f t="shared" si="22"/>
        <v>2431.59</v>
      </c>
      <c r="H47" s="176">
        <f t="shared" si="23"/>
        <v>1945.27</v>
      </c>
      <c r="I47" s="176">
        <f t="shared" si="24"/>
        <v>486.32</v>
      </c>
      <c r="J47" s="176">
        <v>8</v>
      </c>
      <c r="K47">
        <v>1531.65</v>
      </c>
      <c r="L47">
        <f t="shared" si="6"/>
        <v>-0.212628581122415</v>
      </c>
      <c r="M47" s="184">
        <f t="shared" si="25"/>
        <v>1563</v>
      </c>
    </row>
    <row r="48" spans="1:13">
      <c r="A48" s="175" t="s">
        <v>61</v>
      </c>
      <c r="B48" s="176">
        <v>1622</v>
      </c>
      <c r="C48" s="195">
        <f t="shared" si="21"/>
        <v>1622</v>
      </c>
      <c r="D48" s="176">
        <v>0</v>
      </c>
      <c r="E48" s="176">
        <v>0</v>
      </c>
      <c r="F48" s="202">
        <v>0</v>
      </c>
      <c r="G48" s="201">
        <f t="shared" si="22"/>
        <v>340.62</v>
      </c>
      <c r="H48" s="176">
        <f t="shared" si="23"/>
        <v>170.31</v>
      </c>
      <c r="I48" s="176">
        <f t="shared" si="24"/>
        <v>170.31</v>
      </c>
      <c r="J48" s="176">
        <v>5</v>
      </c>
      <c r="K48">
        <v>336.83</v>
      </c>
      <c r="L48">
        <f t="shared" si="6"/>
        <v>0.977746462333392</v>
      </c>
      <c r="M48" s="184">
        <f t="shared" si="25"/>
        <v>137</v>
      </c>
    </row>
    <row r="49" spans="1:13">
      <c r="A49" s="173" t="s">
        <v>62</v>
      </c>
      <c r="B49" s="178">
        <f t="shared" ref="B49:I49" si="26">SUM(B50:B61)</f>
        <v>35102</v>
      </c>
      <c r="C49" s="178">
        <f t="shared" si="26"/>
        <v>33255</v>
      </c>
      <c r="D49" s="178">
        <f t="shared" si="26"/>
        <v>75</v>
      </c>
      <c r="E49" s="178">
        <f t="shared" si="26"/>
        <v>1612</v>
      </c>
      <c r="F49" s="199">
        <f t="shared" si="26"/>
        <v>160</v>
      </c>
      <c r="G49" s="174">
        <f t="shared" si="26"/>
        <v>7542.75</v>
      </c>
      <c r="H49" s="174">
        <f t="shared" si="26"/>
        <v>4582.78</v>
      </c>
      <c r="I49" s="174">
        <f t="shared" si="26"/>
        <v>2959.97</v>
      </c>
      <c r="J49" s="178"/>
      <c r="K49">
        <v>4995.15</v>
      </c>
      <c r="L49">
        <f t="shared" si="6"/>
        <v>0.089982499705419</v>
      </c>
      <c r="M49" s="174">
        <f>SUM(M50:M61)</f>
        <v>3661</v>
      </c>
    </row>
    <row r="50" spans="1:13">
      <c r="A50" s="175" t="s">
        <v>63</v>
      </c>
      <c r="B50" s="176">
        <v>18130</v>
      </c>
      <c r="C50" s="195">
        <f t="shared" ref="C50:C61" si="27">B50-D50-E50-F50</f>
        <v>16283</v>
      </c>
      <c r="D50" s="176">
        <v>75</v>
      </c>
      <c r="E50" s="176">
        <v>1612</v>
      </c>
      <c r="F50" s="202">
        <v>160</v>
      </c>
      <c r="G50" s="201">
        <f t="shared" ref="G50:G61" si="28">C50*0.21+E50*0.3+F50*0.36+D50*0.24</f>
        <v>3978.63</v>
      </c>
      <c r="H50" s="176">
        <f t="shared" ref="H50:H61" si="29">ROUND(((C50)*0.21+(E50)*0.3+(F50)*0.36)*J50/10+D50*0.24,2)</f>
        <v>1998.32</v>
      </c>
      <c r="I50" s="176">
        <f t="shared" ref="I50:I61" si="30">G50-H50</f>
        <v>1980.31</v>
      </c>
      <c r="J50" s="176">
        <v>5</v>
      </c>
      <c r="K50">
        <v>1995.87</v>
      </c>
      <c r="L50">
        <f t="shared" si="6"/>
        <v>-0.0012260298650867</v>
      </c>
      <c r="M50" s="184">
        <f t="shared" ref="M50:M61" si="31">ROUNDUP(H50*0.803,0)</f>
        <v>1605</v>
      </c>
    </row>
    <row r="51" spans="1:13">
      <c r="A51" s="175" t="s">
        <v>64</v>
      </c>
      <c r="B51" s="176">
        <v>365</v>
      </c>
      <c r="C51" s="195">
        <f t="shared" si="27"/>
        <v>365</v>
      </c>
      <c r="D51" s="176">
        <v>0</v>
      </c>
      <c r="E51" s="176">
        <v>0</v>
      </c>
      <c r="F51" s="202">
        <v>0</v>
      </c>
      <c r="G51" s="201">
        <f t="shared" si="28"/>
        <v>76.65</v>
      </c>
      <c r="H51" s="176">
        <f t="shared" si="29"/>
        <v>38.33</v>
      </c>
      <c r="I51" s="176">
        <f t="shared" si="30"/>
        <v>38.32</v>
      </c>
      <c r="J51" s="176">
        <v>5</v>
      </c>
      <c r="K51">
        <v>90.9</v>
      </c>
      <c r="L51">
        <f t="shared" si="6"/>
        <v>1.37151056613619</v>
      </c>
      <c r="M51" s="187">
        <v>7</v>
      </c>
    </row>
    <row r="52" spans="1:13">
      <c r="A52" s="175" t="s">
        <v>65</v>
      </c>
      <c r="B52" s="176">
        <v>2436</v>
      </c>
      <c r="C52" s="195">
        <f t="shared" si="27"/>
        <v>2436</v>
      </c>
      <c r="D52" s="176">
        <v>0</v>
      </c>
      <c r="E52" s="176">
        <v>0</v>
      </c>
      <c r="F52" s="202">
        <v>0</v>
      </c>
      <c r="G52" s="201">
        <f t="shared" si="28"/>
        <v>511.56</v>
      </c>
      <c r="H52" s="176">
        <f t="shared" si="29"/>
        <v>434.83</v>
      </c>
      <c r="I52" s="176">
        <f t="shared" si="30"/>
        <v>76.73</v>
      </c>
      <c r="J52" s="176">
        <v>8.5</v>
      </c>
      <c r="K52">
        <v>473.83</v>
      </c>
      <c r="L52">
        <f t="shared" si="6"/>
        <v>0.0896902237656095</v>
      </c>
      <c r="M52" s="184">
        <f t="shared" si="31"/>
        <v>350</v>
      </c>
    </row>
    <row r="53" spans="1:13">
      <c r="A53" s="175" t="s">
        <v>66</v>
      </c>
      <c r="B53" s="176">
        <v>1993</v>
      </c>
      <c r="C53" s="195">
        <f t="shared" si="27"/>
        <v>1993</v>
      </c>
      <c r="D53" s="176">
        <v>0</v>
      </c>
      <c r="E53" s="176">
        <v>0</v>
      </c>
      <c r="F53" s="202">
        <v>0</v>
      </c>
      <c r="G53" s="201">
        <f t="shared" si="28"/>
        <v>418.53</v>
      </c>
      <c r="H53" s="176">
        <f t="shared" si="29"/>
        <v>251.12</v>
      </c>
      <c r="I53" s="176">
        <f t="shared" si="30"/>
        <v>167.41</v>
      </c>
      <c r="J53" s="176">
        <v>6</v>
      </c>
      <c r="K53">
        <v>446.05</v>
      </c>
      <c r="L53">
        <f t="shared" si="6"/>
        <v>0.776242433896145</v>
      </c>
      <c r="M53" s="184">
        <f t="shared" si="31"/>
        <v>202</v>
      </c>
    </row>
    <row r="54" spans="1:13">
      <c r="A54" s="175" t="s">
        <v>67</v>
      </c>
      <c r="B54" s="176">
        <v>1735</v>
      </c>
      <c r="C54" s="195">
        <f t="shared" si="27"/>
        <v>1735</v>
      </c>
      <c r="D54" s="176">
        <v>0</v>
      </c>
      <c r="E54" s="176">
        <v>0</v>
      </c>
      <c r="F54" s="202">
        <v>0</v>
      </c>
      <c r="G54" s="201">
        <f t="shared" si="28"/>
        <v>364.35</v>
      </c>
      <c r="H54" s="176">
        <f t="shared" si="29"/>
        <v>309.7</v>
      </c>
      <c r="I54" s="176">
        <f t="shared" si="30"/>
        <v>54.65</v>
      </c>
      <c r="J54" s="176">
        <v>8.5</v>
      </c>
      <c r="K54">
        <v>388.43</v>
      </c>
      <c r="L54">
        <f t="shared" si="6"/>
        <v>0.254213755247013</v>
      </c>
      <c r="M54" s="184">
        <f t="shared" si="31"/>
        <v>249</v>
      </c>
    </row>
    <row r="55" spans="1:13">
      <c r="A55" s="175" t="s">
        <v>68</v>
      </c>
      <c r="B55" s="176">
        <v>598</v>
      </c>
      <c r="C55" s="195">
        <f t="shared" si="27"/>
        <v>598</v>
      </c>
      <c r="D55" s="176">
        <v>0</v>
      </c>
      <c r="E55" s="176">
        <v>0</v>
      </c>
      <c r="F55" s="202">
        <v>0</v>
      </c>
      <c r="G55" s="201">
        <f t="shared" si="28"/>
        <v>125.58</v>
      </c>
      <c r="H55" s="176">
        <f t="shared" si="29"/>
        <v>75.35</v>
      </c>
      <c r="I55" s="176">
        <f t="shared" si="30"/>
        <v>50.23</v>
      </c>
      <c r="J55" s="176">
        <v>6</v>
      </c>
      <c r="K55">
        <v>80.63</v>
      </c>
      <c r="L55">
        <f t="shared" si="6"/>
        <v>0.0700729927007299</v>
      </c>
      <c r="M55" s="184">
        <f t="shared" si="31"/>
        <v>61</v>
      </c>
    </row>
    <row r="56" spans="1:13">
      <c r="A56" s="175" t="s">
        <v>69</v>
      </c>
      <c r="B56" s="176">
        <v>1655</v>
      </c>
      <c r="C56" s="195">
        <f t="shared" si="27"/>
        <v>1655</v>
      </c>
      <c r="D56" s="176">
        <v>0</v>
      </c>
      <c r="E56" s="176">
        <v>0</v>
      </c>
      <c r="F56" s="202">
        <v>0</v>
      </c>
      <c r="G56" s="201">
        <f t="shared" si="28"/>
        <v>347.55</v>
      </c>
      <c r="H56" s="176">
        <f t="shared" si="29"/>
        <v>278.04</v>
      </c>
      <c r="I56" s="176">
        <f t="shared" si="30"/>
        <v>69.51</v>
      </c>
      <c r="J56" s="176">
        <v>8</v>
      </c>
      <c r="K56">
        <v>292.88</v>
      </c>
      <c r="L56">
        <f t="shared" si="6"/>
        <v>0.05337361530715</v>
      </c>
      <c r="M56" s="184">
        <f t="shared" si="31"/>
        <v>224</v>
      </c>
    </row>
    <row r="57" spans="1:13">
      <c r="A57" s="175" t="s">
        <v>70</v>
      </c>
      <c r="B57" s="176">
        <v>2692</v>
      </c>
      <c r="C57" s="195">
        <f t="shared" si="27"/>
        <v>2692</v>
      </c>
      <c r="D57" s="176">
        <v>0</v>
      </c>
      <c r="E57" s="176">
        <v>0</v>
      </c>
      <c r="F57" s="202">
        <v>0</v>
      </c>
      <c r="G57" s="201">
        <f t="shared" si="28"/>
        <v>565.32</v>
      </c>
      <c r="H57" s="176">
        <f t="shared" si="29"/>
        <v>480.52</v>
      </c>
      <c r="I57" s="176">
        <f t="shared" si="30"/>
        <v>84.8</v>
      </c>
      <c r="J57" s="176">
        <v>8.5</v>
      </c>
      <c r="K57">
        <v>505.19</v>
      </c>
      <c r="L57">
        <f t="shared" si="6"/>
        <v>0.0513402147673354</v>
      </c>
      <c r="M57" s="184">
        <f t="shared" si="31"/>
        <v>386</v>
      </c>
    </row>
    <row r="58" spans="1:13">
      <c r="A58" s="175" t="s">
        <v>71</v>
      </c>
      <c r="B58" s="176">
        <v>1264</v>
      </c>
      <c r="C58" s="195">
        <f t="shared" si="27"/>
        <v>1264</v>
      </c>
      <c r="D58" s="176">
        <v>0</v>
      </c>
      <c r="E58" s="176">
        <v>0</v>
      </c>
      <c r="F58" s="202">
        <v>0</v>
      </c>
      <c r="G58" s="201">
        <f t="shared" si="28"/>
        <v>265.44</v>
      </c>
      <c r="H58" s="176">
        <f t="shared" si="29"/>
        <v>225.62</v>
      </c>
      <c r="I58" s="176">
        <f t="shared" si="30"/>
        <v>39.82</v>
      </c>
      <c r="J58" s="176">
        <v>8.5</v>
      </c>
      <c r="K58">
        <v>263.16</v>
      </c>
      <c r="L58">
        <f t="shared" si="6"/>
        <v>0.166385958691605</v>
      </c>
      <c r="M58" s="184">
        <f t="shared" si="31"/>
        <v>182</v>
      </c>
    </row>
    <row r="59" spans="1:13">
      <c r="A59" s="175" t="s">
        <v>72</v>
      </c>
      <c r="B59" s="176">
        <v>552</v>
      </c>
      <c r="C59" s="195">
        <f t="shared" si="27"/>
        <v>552</v>
      </c>
      <c r="D59" s="176">
        <v>0</v>
      </c>
      <c r="E59" s="176">
        <v>0</v>
      </c>
      <c r="F59" s="202">
        <v>0</v>
      </c>
      <c r="G59" s="201">
        <f t="shared" si="28"/>
        <v>115.92</v>
      </c>
      <c r="H59" s="176">
        <f t="shared" si="29"/>
        <v>104.33</v>
      </c>
      <c r="I59" s="176">
        <f t="shared" si="30"/>
        <v>11.59</v>
      </c>
      <c r="J59" s="176">
        <v>9</v>
      </c>
      <c r="K59">
        <v>98.23</v>
      </c>
      <c r="L59">
        <f t="shared" si="6"/>
        <v>-0.0584683216716188</v>
      </c>
      <c r="M59" s="184">
        <f t="shared" si="31"/>
        <v>84</v>
      </c>
    </row>
    <row r="60" spans="1:13">
      <c r="A60" s="175" t="s">
        <v>73</v>
      </c>
      <c r="B60" s="176">
        <v>2157</v>
      </c>
      <c r="C60" s="195">
        <f t="shared" si="27"/>
        <v>2157</v>
      </c>
      <c r="D60" s="176">
        <v>0</v>
      </c>
      <c r="E60" s="176">
        <v>0</v>
      </c>
      <c r="F60" s="202">
        <v>0</v>
      </c>
      <c r="G60" s="201">
        <f t="shared" si="28"/>
        <v>452.97</v>
      </c>
      <c r="H60" s="176">
        <f t="shared" si="29"/>
        <v>226.49</v>
      </c>
      <c r="I60" s="176">
        <f t="shared" si="30"/>
        <v>226.48</v>
      </c>
      <c r="J60" s="176">
        <v>5</v>
      </c>
      <c r="K60">
        <v>198.03</v>
      </c>
      <c r="L60">
        <f t="shared" si="6"/>
        <v>-0.125656761887942</v>
      </c>
      <c r="M60" s="184">
        <f t="shared" si="31"/>
        <v>182</v>
      </c>
    </row>
    <row r="61" spans="1:13">
      <c r="A61" s="175" t="s">
        <v>75</v>
      </c>
      <c r="B61" s="176">
        <v>1525</v>
      </c>
      <c r="C61" s="195">
        <f t="shared" si="27"/>
        <v>1525</v>
      </c>
      <c r="D61" s="176">
        <v>0</v>
      </c>
      <c r="E61" s="176">
        <v>0</v>
      </c>
      <c r="F61" s="202">
        <v>0</v>
      </c>
      <c r="G61" s="201">
        <f t="shared" si="28"/>
        <v>320.25</v>
      </c>
      <c r="H61" s="176">
        <f t="shared" si="29"/>
        <v>160.13</v>
      </c>
      <c r="I61" s="176">
        <f t="shared" si="30"/>
        <v>160.12</v>
      </c>
      <c r="J61" s="176">
        <v>5</v>
      </c>
      <c r="K61">
        <v>161.95</v>
      </c>
      <c r="L61">
        <f t="shared" si="6"/>
        <v>0.011365765315681</v>
      </c>
      <c r="M61" s="184">
        <f t="shared" si="31"/>
        <v>129</v>
      </c>
    </row>
    <row r="62" spans="1:13">
      <c r="A62" s="173" t="s">
        <v>76</v>
      </c>
      <c r="B62" s="178">
        <f t="shared" ref="B62:I62" si="32">SUM(B63:B72)</f>
        <v>17119</v>
      </c>
      <c r="C62" s="178">
        <f t="shared" si="32"/>
        <v>13851</v>
      </c>
      <c r="D62" s="178">
        <f t="shared" si="32"/>
        <v>539</v>
      </c>
      <c r="E62" s="178">
        <f t="shared" si="32"/>
        <v>2729</v>
      </c>
      <c r="F62" s="199">
        <f t="shared" si="32"/>
        <v>0</v>
      </c>
      <c r="G62" s="174">
        <f t="shared" si="32"/>
        <v>3856.77</v>
      </c>
      <c r="H62" s="174">
        <f t="shared" si="32"/>
        <v>3200.46</v>
      </c>
      <c r="I62" s="174">
        <f t="shared" si="32"/>
        <v>656.31</v>
      </c>
      <c r="J62" s="177"/>
      <c r="K62">
        <v>3027.39</v>
      </c>
      <c r="L62">
        <f t="shared" si="6"/>
        <v>-0.0540766014885361</v>
      </c>
      <c r="M62" s="174">
        <f>SUM(M63:M72)</f>
        <v>2578</v>
      </c>
    </row>
    <row r="63" spans="1:13">
      <c r="A63" s="175" t="s">
        <v>77</v>
      </c>
      <c r="B63" s="176">
        <v>7105</v>
      </c>
      <c r="C63" s="195">
        <f t="shared" ref="C63:C72" si="33">B63-D63-E63-F63</f>
        <v>4376</v>
      </c>
      <c r="D63" s="176">
        <v>0</v>
      </c>
      <c r="E63" s="176">
        <v>2729</v>
      </c>
      <c r="F63" s="202">
        <v>0</v>
      </c>
      <c r="G63" s="201">
        <f t="shared" ref="G63:G72" si="34">C63*0.21+E63*0.3+F63*0.36+D63*0.24</f>
        <v>1737.66</v>
      </c>
      <c r="H63" s="176">
        <f t="shared" ref="H63:H72" si="35">ROUND(((C63)*0.21+(E63)*0.3+(F63)*0.36)*J63/10+D63*0.24,2)</f>
        <v>1390.13</v>
      </c>
      <c r="I63" s="176">
        <f t="shared" ref="I63:I72" si="36">G63-H63</f>
        <v>347.53</v>
      </c>
      <c r="J63" s="176">
        <v>8</v>
      </c>
      <c r="K63">
        <v>1093.98</v>
      </c>
      <c r="L63">
        <f t="shared" si="6"/>
        <v>-0.213037629574213</v>
      </c>
      <c r="M63" s="184">
        <f t="shared" ref="M63:M72" si="37">ROUNDUP(H63*0.803,0)</f>
        <v>1117</v>
      </c>
    </row>
    <row r="64" spans="1:13">
      <c r="A64" s="175" t="s">
        <v>78</v>
      </c>
      <c r="B64" s="176">
        <v>1217</v>
      </c>
      <c r="C64" s="195">
        <f t="shared" si="33"/>
        <v>1217</v>
      </c>
      <c r="D64" s="176">
        <v>0</v>
      </c>
      <c r="E64" s="176">
        <v>0</v>
      </c>
      <c r="F64" s="202">
        <v>0</v>
      </c>
      <c r="G64" s="201">
        <f t="shared" si="34"/>
        <v>255.57</v>
      </c>
      <c r="H64" s="176">
        <f t="shared" si="35"/>
        <v>204.46</v>
      </c>
      <c r="I64" s="176">
        <f t="shared" si="36"/>
        <v>51.11</v>
      </c>
      <c r="J64" s="176">
        <v>8</v>
      </c>
      <c r="K64">
        <v>215.17</v>
      </c>
      <c r="L64">
        <f t="shared" si="6"/>
        <v>0.0523818839870878</v>
      </c>
      <c r="M64" s="184">
        <f t="shared" si="37"/>
        <v>165</v>
      </c>
    </row>
    <row r="65" spans="1:13">
      <c r="A65" s="175" t="s">
        <v>79</v>
      </c>
      <c r="B65" s="176">
        <v>908</v>
      </c>
      <c r="C65" s="195">
        <f t="shared" si="33"/>
        <v>908</v>
      </c>
      <c r="D65" s="176">
        <v>0</v>
      </c>
      <c r="E65" s="176">
        <v>0</v>
      </c>
      <c r="F65" s="202">
        <v>0</v>
      </c>
      <c r="G65" s="201">
        <f t="shared" si="34"/>
        <v>190.68</v>
      </c>
      <c r="H65" s="176">
        <f t="shared" si="35"/>
        <v>162.08</v>
      </c>
      <c r="I65" s="176">
        <f t="shared" si="36"/>
        <v>28.6</v>
      </c>
      <c r="J65" s="176">
        <v>8.5</v>
      </c>
      <c r="K65">
        <v>186.82</v>
      </c>
      <c r="L65">
        <f t="shared" si="6"/>
        <v>0.152640671273445</v>
      </c>
      <c r="M65" s="184">
        <f t="shared" si="37"/>
        <v>131</v>
      </c>
    </row>
    <row r="66" spans="1:13">
      <c r="A66" s="175" t="s">
        <v>80</v>
      </c>
      <c r="B66" s="176">
        <v>889</v>
      </c>
      <c r="C66" s="195">
        <f t="shared" si="33"/>
        <v>889</v>
      </c>
      <c r="D66" s="176">
        <v>0</v>
      </c>
      <c r="E66" s="176">
        <v>0</v>
      </c>
      <c r="F66" s="202">
        <v>0</v>
      </c>
      <c r="G66" s="201">
        <f t="shared" si="34"/>
        <v>186.69</v>
      </c>
      <c r="H66" s="176">
        <f t="shared" si="35"/>
        <v>158.69</v>
      </c>
      <c r="I66" s="176">
        <f t="shared" si="36"/>
        <v>28</v>
      </c>
      <c r="J66" s="176">
        <v>8.5</v>
      </c>
      <c r="K66">
        <v>168.03</v>
      </c>
      <c r="L66">
        <f t="shared" si="6"/>
        <v>0.0588568907933707</v>
      </c>
      <c r="M66" s="184">
        <f t="shared" si="37"/>
        <v>128</v>
      </c>
    </row>
    <row r="67" spans="1:13">
      <c r="A67" s="175" t="s">
        <v>81</v>
      </c>
      <c r="B67" s="176">
        <v>496</v>
      </c>
      <c r="C67" s="195">
        <f t="shared" si="33"/>
        <v>234</v>
      </c>
      <c r="D67" s="176">
        <v>262</v>
      </c>
      <c r="E67" s="176">
        <v>0</v>
      </c>
      <c r="F67" s="202">
        <v>0</v>
      </c>
      <c r="G67" s="201">
        <f t="shared" si="34"/>
        <v>112.02</v>
      </c>
      <c r="H67" s="176">
        <f t="shared" si="35"/>
        <v>107.11</v>
      </c>
      <c r="I67" s="176">
        <f t="shared" si="36"/>
        <v>4.91</v>
      </c>
      <c r="J67" s="176">
        <v>9</v>
      </c>
      <c r="K67">
        <v>107.67</v>
      </c>
      <c r="L67">
        <f t="shared" si="6"/>
        <v>0.00522827000280088</v>
      </c>
      <c r="M67" s="184">
        <f t="shared" si="37"/>
        <v>87</v>
      </c>
    </row>
    <row r="68" spans="1:13">
      <c r="A68" s="175" t="s">
        <v>82</v>
      </c>
      <c r="B68" s="176">
        <v>684</v>
      </c>
      <c r="C68" s="195">
        <f t="shared" si="33"/>
        <v>684</v>
      </c>
      <c r="D68" s="176">
        <v>0</v>
      </c>
      <c r="E68" s="176">
        <v>0</v>
      </c>
      <c r="F68" s="202">
        <v>0</v>
      </c>
      <c r="G68" s="201">
        <f t="shared" si="34"/>
        <v>143.64</v>
      </c>
      <c r="H68" s="176">
        <f t="shared" si="35"/>
        <v>122.09</v>
      </c>
      <c r="I68" s="176">
        <f t="shared" si="36"/>
        <v>21.55</v>
      </c>
      <c r="J68" s="176">
        <v>8.5</v>
      </c>
      <c r="K68">
        <v>121.54</v>
      </c>
      <c r="L68">
        <f t="shared" si="6"/>
        <v>-0.00450487345400931</v>
      </c>
      <c r="M68" s="184">
        <f t="shared" si="37"/>
        <v>99</v>
      </c>
    </row>
    <row r="69" spans="1:13">
      <c r="A69" s="175" t="s">
        <v>83</v>
      </c>
      <c r="B69" s="176">
        <v>672</v>
      </c>
      <c r="C69" s="195">
        <f t="shared" si="33"/>
        <v>672</v>
      </c>
      <c r="D69" s="176">
        <v>0</v>
      </c>
      <c r="E69" s="176">
        <v>0</v>
      </c>
      <c r="F69" s="202">
        <v>0</v>
      </c>
      <c r="G69" s="201">
        <f t="shared" si="34"/>
        <v>141.12</v>
      </c>
      <c r="H69" s="176">
        <f t="shared" si="35"/>
        <v>119.95</v>
      </c>
      <c r="I69" s="176">
        <f t="shared" si="36"/>
        <v>21.17</v>
      </c>
      <c r="J69" s="176">
        <v>8.5</v>
      </c>
      <c r="K69">
        <v>118.94</v>
      </c>
      <c r="L69">
        <f t="shared" si="6"/>
        <v>-0.0084201750729471</v>
      </c>
      <c r="M69" s="184">
        <f t="shared" si="37"/>
        <v>97</v>
      </c>
    </row>
    <row r="70" spans="1:13">
      <c r="A70" s="175" t="s">
        <v>84</v>
      </c>
      <c r="B70" s="176">
        <v>1731</v>
      </c>
      <c r="C70" s="195">
        <f t="shared" si="33"/>
        <v>1731</v>
      </c>
      <c r="D70" s="176">
        <v>0</v>
      </c>
      <c r="E70" s="176">
        <v>0</v>
      </c>
      <c r="F70" s="202">
        <v>0</v>
      </c>
      <c r="G70" s="201">
        <f t="shared" si="34"/>
        <v>363.51</v>
      </c>
      <c r="H70" s="176">
        <f t="shared" si="35"/>
        <v>308.98</v>
      </c>
      <c r="I70" s="176">
        <f t="shared" si="36"/>
        <v>54.53</v>
      </c>
      <c r="J70" s="176">
        <v>8.5</v>
      </c>
      <c r="K70">
        <v>305.8</v>
      </c>
      <c r="L70">
        <f t="shared" si="6"/>
        <v>-0.0102919282801476</v>
      </c>
      <c r="M70" s="184">
        <f t="shared" si="37"/>
        <v>249</v>
      </c>
    </row>
    <row r="71" spans="1:13">
      <c r="A71" s="175" t="s">
        <v>85</v>
      </c>
      <c r="B71" s="176">
        <v>1910</v>
      </c>
      <c r="C71" s="195">
        <f t="shared" si="33"/>
        <v>1633</v>
      </c>
      <c r="D71" s="176">
        <v>277</v>
      </c>
      <c r="E71" s="176">
        <v>0</v>
      </c>
      <c r="F71" s="202">
        <v>0</v>
      </c>
      <c r="G71" s="201">
        <f t="shared" si="34"/>
        <v>409.41</v>
      </c>
      <c r="H71" s="176">
        <f t="shared" si="35"/>
        <v>357.97</v>
      </c>
      <c r="I71" s="176">
        <f t="shared" si="36"/>
        <v>51.44</v>
      </c>
      <c r="J71" s="176">
        <v>8.5</v>
      </c>
      <c r="K71">
        <v>412.11</v>
      </c>
      <c r="L71">
        <f t="shared" ref="L71:L93" si="38">(K71-H71)/H71</f>
        <v>0.15124172416683</v>
      </c>
      <c r="M71" s="184">
        <f t="shared" si="37"/>
        <v>288</v>
      </c>
    </row>
    <row r="72" spans="1:13">
      <c r="A72" s="175" t="s">
        <v>86</v>
      </c>
      <c r="B72" s="176">
        <v>1507</v>
      </c>
      <c r="C72" s="195">
        <f t="shared" si="33"/>
        <v>1507</v>
      </c>
      <c r="D72" s="176">
        <v>0</v>
      </c>
      <c r="E72" s="176">
        <v>0</v>
      </c>
      <c r="F72" s="202">
        <v>0</v>
      </c>
      <c r="G72" s="201">
        <f t="shared" si="34"/>
        <v>316.47</v>
      </c>
      <c r="H72" s="176">
        <f t="shared" si="35"/>
        <v>269</v>
      </c>
      <c r="I72" s="176">
        <f t="shared" si="36"/>
        <v>47.47</v>
      </c>
      <c r="J72" s="176">
        <v>8.5</v>
      </c>
      <c r="K72">
        <v>297.33</v>
      </c>
      <c r="L72">
        <f t="shared" si="38"/>
        <v>0.105315985130111</v>
      </c>
      <c r="M72" s="184">
        <f t="shared" si="37"/>
        <v>217</v>
      </c>
    </row>
    <row r="73" spans="1:13">
      <c r="A73" s="173" t="s">
        <v>87</v>
      </c>
      <c r="B73" s="178">
        <f t="shared" ref="B73:I73" si="39">SUM(B74:B81)</f>
        <v>20518</v>
      </c>
      <c r="C73" s="178">
        <f t="shared" si="39"/>
        <v>18322</v>
      </c>
      <c r="D73" s="178">
        <f t="shared" si="39"/>
        <v>1012</v>
      </c>
      <c r="E73" s="178">
        <f t="shared" si="39"/>
        <v>1184</v>
      </c>
      <c r="F73" s="199">
        <f t="shared" si="39"/>
        <v>0</v>
      </c>
      <c r="G73" s="174">
        <f t="shared" si="39"/>
        <v>4445.7</v>
      </c>
      <c r="H73" s="174">
        <f t="shared" si="39"/>
        <v>3384.27</v>
      </c>
      <c r="I73" s="174">
        <f t="shared" si="39"/>
        <v>1061.43</v>
      </c>
      <c r="J73" s="177"/>
      <c r="K73">
        <v>3238.39</v>
      </c>
      <c r="L73">
        <f t="shared" si="38"/>
        <v>-0.0431053077916362</v>
      </c>
      <c r="M73" s="174">
        <f>SUM(M74:M81)</f>
        <v>2724</v>
      </c>
    </row>
    <row r="74" spans="1:13">
      <c r="A74" s="175" t="s">
        <v>88</v>
      </c>
      <c r="B74" s="176">
        <v>4478</v>
      </c>
      <c r="C74" s="195">
        <f t="shared" ref="C74:C81" si="40">B74-D74-E74-F74</f>
        <v>2282</v>
      </c>
      <c r="D74" s="176">
        <v>1012</v>
      </c>
      <c r="E74" s="176">
        <v>1184</v>
      </c>
      <c r="F74" s="202">
        <v>0</v>
      </c>
      <c r="G74" s="201">
        <f t="shared" ref="G74:G81" si="41">C74*0.21+E74*0.3+F74*0.36+D74*0.24</f>
        <v>1077.3</v>
      </c>
      <c r="H74" s="176">
        <f t="shared" ref="H74:H81" si="42">ROUND(((C74)*0.21+(E74)*0.3+(F74)*0.36)*J74/10+D74*0.24,2)</f>
        <v>743.53</v>
      </c>
      <c r="I74" s="176">
        <f t="shared" ref="I74:I81" si="43">G74-H74</f>
        <v>333.77</v>
      </c>
      <c r="J74" s="176">
        <v>6</v>
      </c>
      <c r="K74">
        <v>606.09</v>
      </c>
      <c r="L74">
        <f t="shared" si="38"/>
        <v>-0.184847955025352</v>
      </c>
      <c r="M74" s="184">
        <f t="shared" ref="M74:M81" si="44">ROUNDUP(H74*0.803,0)</f>
        <v>598</v>
      </c>
    </row>
    <row r="75" spans="1:13">
      <c r="A75" s="175" t="s">
        <v>89</v>
      </c>
      <c r="B75" s="176">
        <v>4134</v>
      </c>
      <c r="C75" s="195">
        <f t="shared" si="40"/>
        <v>4134</v>
      </c>
      <c r="D75" s="176">
        <v>0</v>
      </c>
      <c r="E75" s="176">
        <v>0</v>
      </c>
      <c r="F75" s="202">
        <v>0</v>
      </c>
      <c r="G75" s="201">
        <f t="shared" si="41"/>
        <v>868.14</v>
      </c>
      <c r="H75" s="176">
        <f t="shared" si="42"/>
        <v>520.88</v>
      </c>
      <c r="I75" s="176">
        <f t="shared" si="43"/>
        <v>347.26</v>
      </c>
      <c r="J75" s="176">
        <v>6</v>
      </c>
      <c r="K75">
        <v>368.8</v>
      </c>
      <c r="L75">
        <f t="shared" si="38"/>
        <v>-0.291967439717401</v>
      </c>
      <c r="M75" s="184">
        <f t="shared" si="44"/>
        <v>419</v>
      </c>
    </row>
    <row r="76" spans="1:13">
      <c r="A76" s="175" t="s">
        <v>90</v>
      </c>
      <c r="B76" s="176">
        <v>2307</v>
      </c>
      <c r="C76" s="195">
        <f t="shared" si="40"/>
        <v>2307</v>
      </c>
      <c r="D76" s="176">
        <v>0</v>
      </c>
      <c r="E76" s="176">
        <v>0</v>
      </c>
      <c r="F76" s="202">
        <v>0</v>
      </c>
      <c r="G76" s="201">
        <f t="shared" si="41"/>
        <v>484.47</v>
      </c>
      <c r="H76" s="176">
        <f t="shared" si="42"/>
        <v>436.02</v>
      </c>
      <c r="I76" s="176">
        <f t="shared" si="43"/>
        <v>48.45</v>
      </c>
      <c r="J76" s="176">
        <v>9</v>
      </c>
      <c r="K76">
        <v>467.84</v>
      </c>
      <c r="L76">
        <f t="shared" si="38"/>
        <v>0.0729783037475345</v>
      </c>
      <c r="M76" s="184">
        <f t="shared" si="44"/>
        <v>351</v>
      </c>
    </row>
    <row r="77" spans="1:13">
      <c r="A77" s="175" t="s">
        <v>91</v>
      </c>
      <c r="B77" s="176">
        <v>1987</v>
      </c>
      <c r="C77" s="195">
        <f t="shared" si="40"/>
        <v>1987</v>
      </c>
      <c r="D77" s="176">
        <v>0</v>
      </c>
      <c r="E77" s="176">
        <v>0</v>
      </c>
      <c r="F77" s="202">
        <v>0</v>
      </c>
      <c r="G77" s="201">
        <f t="shared" si="41"/>
        <v>417.27</v>
      </c>
      <c r="H77" s="176">
        <f t="shared" si="42"/>
        <v>333.82</v>
      </c>
      <c r="I77" s="176">
        <f t="shared" si="43"/>
        <v>83.45</v>
      </c>
      <c r="J77" s="176">
        <v>8</v>
      </c>
      <c r="K77">
        <v>367.74</v>
      </c>
      <c r="L77">
        <f t="shared" si="38"/>
        <v>0.101611646995387</v>
      </c>
      <c r="M77" s="184">
        <f t="shared" si="44"/>
        <v>269</v>
      </c>
    </row>
    <row r="78" spans="1:13">
      <c r="A78" s="175" t="s">
        <v>92</v>
      </c>
      <c r="B78" s="176">
        <v>2874</v>
      </c>
      <c r="C78" s="195">
        <f t="shared" si="40"/>
        <v>2874</v>
      </c>
      <c r="D78" s="176">
        <v>0</v>
      </c>
      <c r="E78" s="176">
        <v>0</v>
      </c>
      <c r="F78" s="202">
        <v>0</v>
      </c>
      <c r="G78" s="201">
        <f t="shared" si="41"/>
        <v>603.54</v>
      </c>
      <c r="H78" s="176">
        <f t="shared" si="42"/>
        <v>482.83</v>
      </c>
      <c r="I78" s="176">
        <f t="shared" si="43"/>
        <v>120.71</v>
      </c>
      <c r="J78" s="176">
        <v>8</v>
      </c>
      <c r="K78">
        <v>541.64</v>
      </c>
      <c r="L78">
        <f t="shared" si="38"/>
        <v>0.121802704885778</v>
      </c>
      <c r="M78" s="184">
        <f t="shared" si="44"/>
        <v>388</v>
      </c>
    </row>
    <row r="79" spans="1:13">
      <c r="A79" s="175" t="s">
        <v>93</v>
      </c>
      <c r="B79" s="176">
        <v>2043</v>
      </c>
      <c r="C79" s="195">
        <f t="shared" si="40"/>
        <v>2043</v>
      </c>
      <c r="D79" s="176">
        <v>0</v>
      </c>
      <c r="E79" s="176">
        <v>0</v>
      </c>
      <c r="F79" s="202">
        <v>0</v>
      </c>
      <c r="G79" s="201">
        <f t="shared" si="41"/>
        <v>429.03</v>
      </c>
      <c r="H79" s="176">
        <f t="shared" si="42"/>
        <v>386.13</v>
      </c>
      <c r="I79" s="176">
        <f t="shared" si="43"/>
        <v>42.9</v>
      </c>
      <c r="J79" s="176">
        <v>9</v>
      </c>
      <c r="K79">
        <v>382.05</v>
      </c>
      <c r="L79">
        <f t="shared" si="38"/>
        <v>-0.0105663895579209</v>
      </c>
      <c r="M79" s="184">
        <f t="shared" si="44"/>
        <v>311</v>
      </c>
    </row>
    <row r="80" spans="1:13">
      <c r="A80" s="175" t="s">
        <v>94</v>
      </c>
      <c r="B80" s="176">
        <v>1090</v>
      </c>
      <c r="C80" s="195">
        <f t="shared" si="40"/>
        <v>1090</v>
      </c>
      <c r="D80" s="176">
        <v>0</v>
      </c>
      <c r="E80" s="176">
        <v>0</v>
      </c>
      <c r="F80" s="202">
        <v>0</v>
      </c>
      <c r="G80" s="201">
        <f t="shared" si="41"/>
        <v>228.9</v>
      </c>
      <c r="H80" s="176">
        <f t="shared" si="42"/>
        <v>194.57</v>
      </c>
      <c r="I80" s="176">
        <f t="shared" si="43"/>
        <v>34.33</v>
      </c>
      <c r="J80" s="176">
        <v>8.5</v>
      </c>
      <c r="K80">
        <v>220.2</v>
      </c>
      <c r="L80">
        <f t="shared" si="38"/>
        <v>0.131726370971887</v>
      </c>
      <c r="M80" s="184">
        <f t="shared" si="44"/>
        <v>157</v>
      </c>
    </row>
    <row r="81" spans="1:13">
      <c r="A81" s="175" t="s">
        <v>95</v>
      </c>
      <c r="B81" s="176">
        <v>1605</v>
      </c>
      <c r="C81" s="195">
        <f t="shared" si="40"/>
        <v>1605</v>
      </c>
      <c r="D81" s="176">
        <v>0</v>
      </c>
      <c r="E81" s="176">
        <v>0</v>
      </c>
      <c r="F81" s="202">
        <v>0</v>
      </c>
      <c r="G81" s="201">
        <f t="shared" si="41"/>
        <v>337.05</v>
      </c>
      <c r="H81" s="176">
        <f t="shared" si="42"/>
        <v>286.49</v>
      </c>
      <c r="I81" s="176">
        <f t="shared" si="43"/>
        <v>50.56</v>
      </c>
      <c r="J81" s="176">
        <v>8.5</v>
      </c>
      <c r="K81">
        <v>284.03</v>
      </c>
      <c r="L81">
        <f t="shared" si="38"/>
        <v>-0.00858668714440307</v>
      </c>
      <c r="M81" s="184">
        <f t="shared" si="44"/>
        <v>231</v>
      </c>
    </row>
    <row r="82" spans="1:13">
      <c r="A82" s="173" t="s">
        <v>96</v>
      </c>
      <c r="B82" s="178">
        <f t="shared" ref="B82:I82" si="45">SUM(B83:B92)</f>
        <v>24156</v>
      </c>
      <c r="C82" s="178">
        <f t="shared" si="45"/>
        <v>22907</v>
      </c>
      <c r="D82" s="178">
        <f t="shared" si="45"/>
        <v>1051</v>
      </c>
      <c r="E82" s="178">
        <f t="shared" si="45"/>
        <v>198</v>
      </c>
      <c r="F82" s="199">
        <f t="shared" si="45"/>
        <v>0</v>
      </c>
      <c r="G82" s="174">
        <f t="shared" si="45"/>
        <v>5122.11</v>
      </c>
      <c r="H82" s="174">
        <f t="shared" si="45"/>
        <v>4042.56</v>
      </c>
      <c r="I82" s="174">
        <f t="shared" si="45"/>
        <v>1079.55</v>
      </c>
      <c r="J82" s="177"/>
      <c r="K82">
        <v>4357.39</v>
      </c>
      <c r="L82">
        <f t="shared" si="38"/>
        <v>0.0778788688355895</v>
      </c>
      <c r="M82" s="174">
        <f>SUM(M83:M92)</f>
        <v>3252</v>
      </c>
    </row>
    <row r="83" spans="1:13">
      <c r="A83" s="175" t="s">
        <v>97</v>
      </c>
      <c r="B83" s="176">
        <v>1780</v>
      </c>
      <c r="C83" s="195">
        <f t="shared" ref="C83:C93" si="46">B83-D83-E83-F83</f>
        <v>1582</v>
      </c>
      <c r="D83" s="176">
        <v>0</v>
      </c>
      <c r="E83" s="176">
        <v>198</v>
      </c>
      <c r="F83" s="202">
        <v>0</v>
      </c>
      <c r="G83" s="201">
        <f t="shared" ref="G83:G93" si="47">C83*0.21+E83*0.3+F83*0.36+D83*0.24</f>
        <v>391.62</v>
      </c>
      <c r="H83" s="176">
        <f t="shared" ref="H83:H93" si="48">ROUND(((C83)*0.21+(E83)*0.3+(F83)*0.36)*J83/10+D83*0.24,2)</f>
        <v>195.81</v>
      </c>
      <c r="I83" s="176">
        <f t="shared" ref="I83:I93" si="49">G83-H83</f>
        <v>195.81</v>
      </c>
      <c r="J83" s="176">
        <v>5</v>
      </c>
      <c r="K83">
        <v>295.92</v>
      </c>
      <c r="L83">
        <f t="shared" si="38"/>
        <v>0.51126091619427</v>
      </c>
      <c r="M83" s="184">
        <f t="shared" ref="M83:M93" si="50">ROUNDUP(H83*0.803,0)</f>
        <v>158</v>
      </c>
    </row>
    <row r="84" spans="1:13">
      <c r="A84" s="175" t="s">
        <v>98</v>
      </c>
      <c r="B84" s="176">
        <v>1954</v>
      </c>
      <c r="C84" s="195">
        <f t="shared" si="46"/>
        <v>1954</v>
      </c>
      <c r="D84" s="176">
        <v>0</v>
      </c>
      <c r="E84" s="176">
        <v>0</v>
      </c>
      <c r="F84" s="202">
        <v>0</v>
      </c>
      <c r="G84" s="201">
        <f t="shared" si="47"/>
        <v>410.34</v>
      </c>
      <c r="H84" s="176">
        <f t="shared" si="48"/>
        <v>205.17</v>
      </c>
      <c r="I84" s="176">
        <f t="shared" si="49"/>
        <v>205.17</v>
      </c>
      <c r="J84" s="176">
        <v>5</v>
      </c>
      <c r="K84">
        <v>345.72</v>
      </c>
      <c r="L84">
        <f t="shared" si="38"/>
        <v>0.685041672759176</v>
      </c>
      <c r="M84" s="184">
        <f t="shared" si="50"/>
        <v>165</v>
      </c>
    </row>
    <row r="85" spans="1:13">
      <c r="A85" s="175" t="s">
        <v>99</v>
      </c>
      <c r="B85" s="176">
        <v>2743</v>
      </c>
      <c r="C85" s="195">
        <f t="shared" si="46"/>
        <v>2743</v>
      </c>
      <c r="D85" s="176">
        <v>0</v>
      </c>
      <c r="E85" s="176">
        <v>0</v>
      </c>
      <c r="F85" s="202">
        <v>0</v>
      </c>
      <c r="G85" s="201">
        <f t="shared" si="47"/>
        <v>576.03</v>
      </c>
      <c r="H85" s="176">
        <f t="shared" si="48"/>
        <v>460.82</v>
      </c>
      <c r="I85" s="176">
        <f t="shared" si="49"/>
        <v>115.21</v>
      </c>
      <c r="J85" s="176">
        <v>8</v>
      </c>
      <c r="K85">
        <v>483.92</v>
      </c>
      <c r="L85">
        <f t="shared" si="38"/>
        <v>0.0501280326374724</v>
      </c>
      <c r="M85" s="184">
        <f t="shared" si="50"/>
        <v>371</v>
      </c>
    </row>
    <row r="86" spans="1:13">
      <c r="A86" s="175" t="s">
        <v>100</v>
      </c>
      <c r="B86" s="176">
        <v>1385</v>
      </c>
      <c r="C86" s="195">
        <f t="shared" si="46"/>
        <v>1385</v>
      </c>
      <c r="D86" s="176">
        <v>0</v>
      </c>
      <c r="E86" s="176">
        <v>0</v>
      </c>
      <c r="F86" s="202">
        <v>0</v>
      </c>
      <c r="G86" s="201">
        <f t="shared" si="47"/>
        <v>290.85</v>
      </c>
      <c r="H86" s="176">
        <f t="shared" si="48"/>
        <v>247.22</v>
      </c>
      <c r="I86" s="176">
        <f t="shared" si="49"/>
        <v>43.63</v>
      </c>
      <c r="J86" s="176">
        <v>8.5</v>
      </c>
      <c r="K86">
        <v>245.24</v>
      </c>
      <c r="L86">
        <f t="shared" si="38"/>
        <v>-0.00800906075560226</v>
      </c>
      <c r="M86" s="184">
        <f t="shared" si="50"/>
        <v>199</v>
      </c>
    </row>
    <row r="87" spans="1:13">
      <c r="A87" s="175" t="s">
        <v>101</v>
      </c>
      <c r="B87" s="176">
        <v>1328</v>
      </c>
      <c r="C87" s="195">
        <f t="shared" si="46"/>
        <v>1328</v>
      </c>
      <c r="D87" s="176">
        <v>0</v>
      </c>
      <c r="E87" s="176">
        <v>0</v>
      </c>
      <c r="F87" s="202">
        <v>0</v>
      </c>
      <c r="G87" s="201">
        <f t="shared" si="47"/>
        <v>278.88</v>
      </c>
      <c r="H87" s="176">
        <f t="shared" si="48"/>
        <v>250.99</v>
      </c>
      <c r="I87" s="176">
        <f t="shared" si="49"/>
        <v>27.89</v>
      </c>
      <c r="J87" s="176">
        <v>9</v>
      </c>
      <c r="K87">
        <v>235.45</v>
      </c>
      <c r="L87">
        <f t="shared" si="38"/>
        <v>-0.0619148173233994</v>
      </c>
      <c r="M87" s="184">
        <f t="shared" si="50"/>
        <v>202</v>
      </c>
    </row>
    <row r="88" spans="1:13">
      <c r="A88" s="175" t="s">
        <v>102</v>
      </c>
      <c r="B88" s="176">
        <v>1148</v>
      </c>
      <c r="C88" s="195">
        <f t="shared" si="46"/>
        <v>1148</v>
      </c>
      <c r="D88" s="176">
        <v>0</v>
      </c>
      <c r="E88" s="176">
        <v>0</v>
      </c>
      <c r="F88" s="202">
        <v>0</v>
      </c>
      <c r="G88" s="201">
        <f t="shared" si="47"/>
        <v>241.08</v>
      </c>
      <c r="H88" s="176">
        <f t="shared" si="48"/>
        <v>216.97</v>
      </c>
      <c r="I88" s="176">
        <f t="shared" si="49"/>
        <v>24.11</v>
      </c>
      <c r="J88" s="176">
        <v>9</v>
      </c>
      <c r="K88">
        <v>206.44</v>
      </c>
      <c r="L88">
        <f t="shared" si="38"/>
        <v>-0.048532055122828</v>
      </c>
      <c r="M88" s="184">
        <f t="shared" si="50"/>
        <v>175</v>
      </c>
    </row>
    <row r="89" spans="1:13">
      <c r="A89" s="175" t="s">
        <v>103</v>
      </c>
      <c r="B89" s="176">
        <v>1409</v>
      </c>
      <c r="C89" s="195">
        <f t="shared" si="46"/>
        <v>1409</v>
      </c>
      <c r="D89" s="176">
        <v>0</v>
      </c>
      <c r="E89" s="176">
        <v>0</v>
      </c>
      <c r="F89" s="202">
        <v>0</v>
      </c>
      <c r="G89" s="201">
        <f t="shared" si="47"/>
        <v>295.89</v>
      </c>
      <c r="H89" s="176">
        <f t="shared" si="48"/>
        <v>266.3</v>
      </c>
      <c r="I89" s="176">
        <f t="shared" si="49"/>
        <v>29.59</v>
      </c>
      <c r="J89" s="176">
        <v>9</v>
      </c>
      <c r="K89">
        <v>249.15</v>
      </c>
      <c r="L89">
        <f t="shared" si="38"/>
        <v>-0.0644010514457379</v>
      </c>
      <c r="M89" s="184">
        <f t="shared" si="50"/>
        <v>214</v>
      </c>
    </row>
    <row r="90" spans="1:13">
      <c r="A90" s="175" t="s">
        <v>104</v>
      </c>
      <c r="B90" s="176">
        <v>1852</v>
      </c>
      <c r="C90" s="195">
        <f t="shared" si="46"/>
        <v>1852</v>
      </c>
      <c r="D90" s="176">
        <v>0</v>
      </c>
      <c r="E90" s="176">
        <v>0</v>
      </c>
      <c r="F90" s="202">
        <v>0</v>
      </c>
      <c r="G90" s="201">
        <f t="shared" si="47"/>
        <v>388.92</v>
      </c>
      <c r="H90" s="176">
        <f t="shared" si="48"/>
        <v>350.03</v>
      </c>
      <c r="I90" s="176">
        <f t="shared" si="49"/>
        <v>38.89</v>
      </c>
      <c r="J90" s="176">
        <v>9</v>
      </c>
      <c r="K90">
        <v>352.78</v>
      </c>
      <c r="L90">
        <f t="shared" si="38"/>
        <v>0.0078564694454761</v>
      </c>
      <c r="M90" s="184">
        <f t="shared" si="50"/>
        <v>282</v>
      </c>
    </row>
    <row r="91" spans="1:13">
      <c r="A91" s="175" t="s">
        <v>105</v>
      </c>
      <c r="B91" s="176">
        <v>6618</v>
      </c>
      <c r="C91" s="195">
        <f t="shared" si="46"/>
        <v>6292</v>
      </c>
      <c r="D91" s="176">
        <v>326</v>
      </c>
      <c r="E91" s="176">
        <v>0</v>
      </c>
      <c r="F91" s="202">
        <v>0</v>
      </c>
      <c r="G91" s="201">
        <f t="shared" si="47"/>
        <v>1399.56</v>
      </c>
      <c r="H91" s="176">
        <f t="shared" si="48"/>
        <v>1135.3</v>
      </c>
      <c r="I91" s="176">
        <f t="shared" si="49"/>
        <v>264.26</v>
      </c>
      <c r="J91" s="176">
        <v>8</v>
      </c>
      <c r="K91">
        <v>1192.08</v>
      </c>
      <c r="L91">
        <f t="shared" si="38"/>
        <v>0.0500132123667753</v>
      </c>
      <c r="M91" s="184">
        <f t="shared" si="50"/>
        <v>912</v>
      </c>
    </row>
    <row r="92" spans="1:13">
      <c r="A92" s="175" t="s">
        <v>106</v>
      </c>
      <c r="B92" s="176">
        <v>3939</v>
      </c>
      <c r="C92" s="195">
        <f t="shared" si="46"/>
        <v>3214</v>
      </c>
      <c r="D92" s="176">
        <v>725</v>
      </c>
      <c r="E92" s="176">
        <v>0</v>
      </c>
      <c r="F92" s="202">
        <v>0</v>
      </c>
      <c r="G92" s="201">
        <f t="shared" si="47"/>
        <v>848.94</v>
      </c>
      <c r="H92" s="176">
        <f t="shared" si="48"/>
        <v>713.95</v>
      </c>
      <c r="I92" s="176">
        <f t="shared" si="49"/>
        <v>134.99</v>
      </c>
      <c r="J92" s="176">
        <v>8</v>
      </c>
      <c r="K92">
        <v>750.69</v>
      </c>
      <c r="L92">
        <f t="shared" si="38"/>
        <v>0.0514601862875552</v>
      </c>
      <c r="M92" s="184">
        <f t="shared" si="50"/>
        <v>574</v>
      </c>
    </row>
    <row r="93" spans="1:13">
      <c r="A93" s="173" t="s">
        <v>107</v>
      </c>
      <c r="B93" s="205">
        <v>2081</v>
      </c>
      <c r="C93" s="205">
        <f t="shared" si="46"/>
        <v>2081</v>
      </c>
      <c r="D93" s="205">
        <v>0</v>
      </c>
      <c r="E93" s="205"/>
      <c r="F93" s="206"/>
      <c r="G93" s="205">
        <f t="shared" si="47"/>
        <v>437.01</v>
      </c>
      <c r="H93" s="205">
        <f t="shared" si="48"/>
        <v>349.61</v>
      </c>
      <c r="I93" s="205">
        <f t="shared" si="49"/>
        <v>87.4</v>
      </c>
      <c r="J93" s="174">
        <v>8</v>
      </c>
      <c r="K93">
        <v>368.57</v>
      </c>
      <c r="L93">
        <f t="shared" si="38"/>
        <v>0.0542318583564543</v>
      </c>
      <c r="M93" s="184">
        <f t="shared" si="50"/>
        <v>281</v>
      </c>
    </row>
  </sheetData>
  <mergeCells count="8">
    <mergeCell ref="A1:J1"/>
    <mergeCell ref="G2:J2"/>
    <mergeCell ref="B3:F3"/>
    <mergeCell ref="G3:I3"/>
    <mergeCell ref="A3:A4"/>
    <mergeCell ref="J3:J4"/>
    <mergeCell ref="K2:K4"/>
    <mergeCell ref="M3:M4"/>
  </mergeCells>
  <pageMargins left="0.275" right="0.118055555555556" top="0.314583333333333" bottom="0.314583333333333" header="0.196527777777778" footer="0.118055555555556"/>
  <pageSetup paperSize="9" scale="8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4"/>
  <sheetViews>
    <sheetView workbookViewId="0">
      <selection activeCell="A5" sqref="A5:K94"/>
    </sheetView>
  </sheetViews>
  <sheetFormatPr defaultColWidth="9" defaultRowHeight="14.25"/>
  <cols>
    <col min="1" max="1" width="21.2583333333333" style="161" customWidth="1"/>
    <col min="2" max="2" width="6" style="162" customWidth="1"/>
    <col min="3" max="4" width="10.875" style="163" customWidth="1"/>
    <col min="5" max="8" width="9.25833333333333" style="164" customWidth="1"/>
    <col min="9" max="9" width="9" hidden="1" customWidth="1"/>
    <col min="10" max="10" width="14" hidden="1" customWidth="1"/>
  </cols>
  <sheetData>
    <row r="1" ht="18" spans="1:8">
      <c r="A1" s="165" t="s">
        <v>123</v>
      </c>
      <c r="B1" s="165"/>
      <c r="C1" s="165"/>
      <c r="D1" s="165"/>
      <c r="E1" s="165"/>
      <c r="F1" s="165"/>
      <c r="G1" s="165"/>
      <c r="H1" s="165"/>
    </row>
    <row r="2" ht="18" spans="1:8">
      <c r="A2" s="165"/>
      <c r="B2" s="165"/>
      <c r="C2" s="166"/>
      <c r="D2" s="166"/>
      <c r="E2" s="179" t="s">
        <v>109</v>
      </c>
      <c r="F2" s="179"/>
      <c r="G2" s="179"/>
      <c r="H2" s="179"/>
    </row>
    <row r="3" spans="1:11">
      <c r="A3" s="3" t="s">
        <v>3</v>
      </c>
      <c r="B3" s="167" t="s">
        <v>113</v>
      </c>
      <c r="C3" s="168" t="s">
        <v>112</v>
      </c>
      <c r="D3" s="168"/>
      <c r="E3" s="168"/>
      <c r="F3" s="180" t="s">
        <v>124</v>
      </c>
      <c r="G3" s="180"/>
      <c r="H3" s="180"/>
      <c r="I3" s="183" t="s">
        <v>110</v>
      </c>
      <c r="K3" s="184" t="s">
        <v>125</v>
      </c>
    </row>
    <row r="4" spans="1:11">
      <c r="A4" s="8"/>
      <c r="B4" s="169"/>
      <c r="C4" s="168" t="s">
        <v>4</v>
      </c>
      <c r="D4" s="170" t="s">
        <v>120</v>
      </c>
      <c r="E4" s="181" t="s">
        <v>121</v>
      </c>
      <c r="F4" s="182" t="s">
        <v>4</v>
      </c>
      <c r="G4" s="176" t="s">
        <v>126</v>
      </c>
      <c r="H4" s="176" t="s">
        <v>127</v>
      </c>
      <c r="I4" s="183"/>
      <c r="K4" s="184"/>
    </row>
    <row r="5" spans="1:11">
      <c r="A5" s="171" t="s">
        <v>18</v>
      </c>
      <c r="B5" s="172"/>
      <c r="C5" s="172">
        <f t="shared" ref="C5:K5" si="0">C6+C19+C26+C37+C50+C63+C74+C83+C94</f>
        <v>6247.85</v>
      </c>
      <c r="D5" s="172">
        <f t="shared" si="0"/>
        <v>4311.33</v>
      </c>
      <c r="E5" s="172">
        <f t="shared" si="0"/>
        <v>1936.52</v>
      </c>
      <c r="F5" s="172">
        <f t="shared" si="0"/>
        <v>23215</v>
      </c>
      <c r="G5" s="172">
        <f t="shared" si="0"/>
        <v>12345</v>
      </c>
      <c r="H5" s="172">
        <f t="shared" si="0"/>
        <v>10870</v>
      </c>
      <c r="I5" s="172">
        <f t="shared" si="0"/>
        <v>4801.62</v>
      </c>
      <c r="J5" s="185">
        <f t="shared" si="0"/>
        <v>15.3193197714435</v>
      </c>
      <c r="K5" s="172">
        <f t="shared" si="0"/>
        <v>3408</v>
      </c>
    </row>
    <row r="6" spans="1:11">
      <c r="A6" s="173" t="s">
        <v>19</v>
      </c>
      <c r="B6" s="174"/>
      <c r="C6" s="174">
        <f t="shared" ref="C6:K6" si="1">SUM(C7:C18)</f>
        <v>755.72</v>
      </c>
      <c r="D6" s="174">
        <f t="shared" si="1"/>
        <v>416.61</v>
      </c>
      <c r="E6" s="174">
        <f t="shared" si="1"/>
        <v>339.11</v>
      </c>
      <c r="F6" s="174">
        <f t="shared" si="1"/>
        <v>2788</v>
      </c>
      <c r="G6" s="174">
        <f t="shared" si="1"/>
        <v>1524</v>
      </c>
      <c r="H6" s="174">
        <f t="shared" si="1"/>
        <v>1264</v>
      </c>
      <c r="I6" s="174">
        <f t="shared" si="1"/>
        <v>450.48</v>
      </c>
      <c r="J6" s="186">
        <f t="shared" si="1"/>
        <v>2.36385970417626</v>
      </c>
      <c r="K6" s="174">
        <f t="shared" si="1"/>
        <v>321</v>
      </c>
    </row>
    <row r="7" spans="1:11">
      <c r="A7" s="175" t="s">
        <v>20</v>
      </c>
      <c r="B7" s="176">
        <v>5</v>
      </c>
      <c r="C7" s="176">
        <f t="shared" ref="C7:C18" si="2">G7*0.33+H7*0.2</f>
        <v>158.25</v>
      </c>
      <c r="D7" s="176">
        <f t="shared" ref="D7:D18" si="3">ROUND((G7*0.33+H7*0.2)*B7/10,2)</f>
        <v>79.13</v>
      </c>
      <c r="E7" s="176">
        <f t="shared" ref="E7:E18" si="4">C7-D7</f>
        <v>79.12</v>
      </c>
      <c r="F7" s="176">
        <f t="shared" ref="F7:F18" si="5">G7+H7</f>
        <v>554</v>
      </c>
      <c r="G7" s="176">
        <v>365</v>
      </c>
      <c r="H7" s="176">
        <v>189</v>
      </c>
      <c r="I7">
        <v>69.38</v>
      </c>
      <c r="J7">
        <f t="shared" ref="J7:J18" si="6">(I7-D7)/D7</f>
        <v>-0.123214962719575</v>
      </c>
      <c r="K7" s="184">
        <f t="shared" ref="K7:K13" si="7">ROUNDUP(D7*0.8,0)</f>
        <v>64</v>
      </c>
    </row>
    <row r="8" spans="1:11">
      <c r="A8" s="175" t="s">
        <v>21</v>
      </c>
      <c r="B8" s="176">
        <v>5</v>
      </c>
      <c r="C8" s="176">
        <f t="shared" si="2"/>
        <v>5.22</v>
      </c>
      <c r="D8" s="176">
        <f t="shared" si="3"/>
        <v>2.61</v>
      </c>
      <c r="E8" s="176">
        <f t="shared" si="4"/>
        <v>2.61</v>
      </c>
      <c r="F8" s="176">
        <f t="shared" si="5"/>
        <v>17</v>
      </c>
      <c r="G8" s="176">
        <v>14</v>
      </c>
      <c r="H8" s="176">
        <v>3</v>
      </c>
      <c r="I8">
        <v>3.32</v>
      </c>
      <c r="J8">
        <f t="shared" si="6"/>
        <v>0.272030651340996</v>
      </c>
      <c r="K8" s="184">
        <f t="shared" si="7"/>
        <v>3</v>
      </c>
    </row>
    <row r="9" spans="1:11">
      <c r="A9" s="175" t="s">
        <v>22</v>
      </c>
      <c r="B9" s="176">
        <v>5</v>
      </c>
      <c r="C9" s="176">
        <f t="shared" si="2"/>
        <v>136.61</v>
      </c>
      <c r="D9" s="176">
        <f t="shared" si="3"/>
        <v>68.31</v>
      </c>
      <c r="E9" s="176">
        <f t="shared" si="4"/>
        <v>68.3</v>
      </c>
      <c r="F9" s="176">
        <f t="shared" si="5"/>
        <v>594</v>
      </c>
      <c r="G9" s="176">
        <v>137</v>
      </c>
      <c r="H9" s="176">
        <v>457</v>
      </c>
      <c r="I9">
        <v>52.16</v>
      </c>
      <c r="J9">
        <f t="shared" si="6"/>
        <v>-0.236422192943932</v>
      </c>
      <c r="K9" s="184">
        <f t="shared" si="7"/>
        <v>55</v>
      </c>
    </row>
    <row r="10" spans="1:11">
      <c r="A10" s="175" t="s">
        <v>23</v>
      </c>
      <c r="B10" s="176">
        <v>5</v>
      </c>
      <c r="C10" s="176">
        <f t="shared" si="2"/>
        <v>27.46</v>
      </c>
      <c r="D10" s="176">
        <f t="shared" si="3"/>
        <v>13.73</v>
      </c>
      <c r="E10" s="176">
        <f t="shared" si="4"/>
        <v>13.73</v>
      </c>
      <c r="F10" s="176">
        <f t="shared" si="5"/>
        <v>97</v>
      </c>
      <c r="G10" s="176">
        <v>62</v>
      </c>
      <c r="H10" s="176">
        <v>35</v>
      </c>
      <c r="I10">
        <v>12.08</v>
      </c>
      <c r="J10">
        <f t="shared" si="6"/>
        <v>-0.120174799708667</v>
      </c>
      <c r="K10" s="184">
        <f t="shared" si="7"/>
        <v>11</v>
      </c>
    </row>
    <row r="11" spans="1:11">
      <c r="A11" s="175" t="s">
        <v>24</v>
      </c>
      <c r="B11" s="176">
        <v>5</v>
      </c>
      <c r="C11" s="176">
        <f t="shared" si="2"/>
        <v>36.39</v>
      </c>
      <c r="D11" s="176">
        <f t="shared" si="3"/>
        <v>18.2</v>
      </c>
      <c r="E11" s="176">
        <f t="shared" si="4"/>
        <v>18.19</v>
      </c>
      <c r="F11" s="176">
        <f t="shared" si="5"/>
        <v>128</v>
      </c>
      <c r="G11" s="176">
        <v>83</v>
      </c>
      <c r="H11" s="176">
        <v>45</v>
      </c>
      <c r="I11">
        <v>20.16</v>
      </c>
      <c r="J11">
        <f t="shared" si="6"/>
        <v>0.107692307692308</v>
      </c>
      <c r="K11" s="184">
        <f t="shared" si="7"/>
        <v>15</v>
      </c>
    </row>
    <row r="12" spans="1:11">
      <c r="A12" s="175" t="s">
        <v>25</v>
      </c>
      <c r="B12" s="176">
        <v>5</v>
      </c>
      <c r="C12" s="176">
        <f t="shared" si="2"/>
        <v>39.4</v>
      </c>
      <c r="D12" s="176">
        <f t="shared" si="3"/>
        <v>19.7</v>
      </c>
      <c r="E12" s="176">
        <f t="shared" si="4"/>
        <v>19.7</v>
      </c>
      <c r="F12" s="176">
        <f t="shared" si="5"/>
        <v>132</v>
      </c>
      <c r="G12" s="176">
        <v>100</v>
      </c>
      <c r="H12" s="176">
        <v>32</v>
      </c>
      <c r="I12">
        <v>32.8</v>
      </c>
      <c r="J12">
        <f t="shared" si="6"/>
        <v>0.66497461928934</v>
      </c>
      <c r="K12" s="184">
        <f t="shared" si="7"/>
        <v>16</v>
      </c>
    </row>
    <row r="13" spans="1:11">
      <c r="A13" s="175" t="s">
        <v>26</v>
      </c>
      <c r="B13" s="176">
        <v>8</v>
      </c>
      <c r="C13" s="176">
        <f t="shared" si="2"/>
        <v>55.79</v>
      </c>
      <c r="D13" s="176">
        <f t="shared" si="3"/>
        <v>44.63</v>
      </c>
      <c r="E13" s="176">
        <f t="shared" si="4"/>
        <v>11.16</v>
      </c>
      <c r="F13" s="176">
        <f t="shared" si="5"/>
        <v>199</v>
      </c>
      <c r="G13" s="176">
        <v>123</v>
      </c>
      <c r="H13" s="176">
        <v>76</v>
      </c>
      <c r="I13">
        <v>47.54</v>
      </c>
      <c r="J13">
        <f t="shared" si="6"/>
        <v>0.0652027784001792</v>
      </c>
      <c r="K13" s="184">
        <f t="shared" si="7"/>
        <v>36</v>
      </c>
    </row>
    <row r="14" spans="1:11">
      <c r="A14" s="175" t="s">
        <v>27</v>
      </c>
      <c r="B14" s="176">
        <v>6</v>
      </c>
      <c r="C14" s="176">
        <f t="shared" si="2"/>
        <v>35.18</v>
      </c>
      <c r="D14" s="176">
        <f t="shared" si="3"/>
        <v>21.11</v>
      </c>
      <c r="E14" s="176">
        <f t="shared" si="4"/>
        <v>14.07</v>
      </c>
      <c r="F14" s="176">
        <f t="shared" si="5"/>
        <v>133</v>
      </c>
      <c r="G14" s="176">
        <v>66</v>
      </c>
      <c r="H14" s="176">
        <v>67</v>
      </c>
      <c r="I14">
        <v>46.76</v>
      </c>
      <c r="J14">
        <f t="shared" si="6"/>
        <v>1.21506395073425</v>
      </c>
      <c r="K14" s="187">
        <v>0</v>
      </c>
    </row>
    <row r="15" spans="1:11">
      <c r="A15" s="175" t="s">
        <v>28</v>
      </c>
      <c r="B15" s="176">
        <v>8.5</v>
      </c>
      <c r="C15" s="176">
        <f t="shared" si="2"/>
        <v>52.75</v>
      </c>
      <c r="D15" s="176">
        <f t="shared" si="3"/>
        <v>44.84</v>
      </c>
      <c r="E15" s="176">
        <f t="shared" si="4"/>
        <v>7.91</v>
      </c>
      <c r="F15" s="176">
        <f t="shared" si="5"/>
        <v>189</v>
      </c>
      <c r="G15" s="176">
        <v>115</v>
      </c>
      <c r="H15" s="176">
        <v>74</v>
      </c>
      <c r="I15">
        <v>52.92</v>
      </c>
      <c r="J15">
        <f t="shared" si="6"/>
        <v>0.180196253345227</v>
      </c>
      <c r="K15" s="184">
        <f t="shared" ref="K15:K18" si="8">ROUNDUP(D15*0.8,0)</f>
        <v>36</v>
      </c>
    </row>
    <row r="16" spans="1:11">
      <c r="A16" s="175" t="s">
        <v>29</v>
      </c>
      <c r="B16" s="176">
        <v>5</v>
      </c>
      <c r="C16" s="176">
        <f t="shared" si="2"/>
        <v>132.75</v>
      </c>
      <c r="D16" s="176">
        <f t="shared" si="3"/>
        <v>66.38</v>
      </c>
      <c r="E16" s="176">
        <f t="shared" si="4"/>
        <v>66.37</v>
      </c>
      <c r="F16" s="176">
        <f t="shared" si="5"/>
        <v>485</v>
      </c>
      <c r="G16" s="176">
        <v>275</v>
      </c>
      <c r="H16" s="176">
        <v>210</v>
      </c>
      <c r="I16">
        <v>70.76</v>
      </c>
      <c r="J16">
        <f t="shared" si="6"/>
        <v>0.0659837300391686</v>
      </c>
      <c r="K16" s="184">
        <f t="shared" si="8"/>
        <v>54</v>
      </c>
    </row>
    <row r="17" spans="1:11">
      <c r="A17" s="175" t="s">
        <v>30</v>
      </c>
      <c r="B17" s="176">
        <v>5</v>
      </c>
      <c r="C17" s="176">
        <f t="shared" si="2"/>
        <v>58.59</v>
      </c>
      <c r="D17" s="176">
        <f t="shared" si="3"/>
        <v>29.3</v>
      </c>
      <c r="E17" s="176">
        <f t="shared" si="4"/>
        <v>29.29</v>
      </c>
      <c r="F17" s="176">
        <f t="shared" si="5"/>
        <v>200</v>
      </c>
      <c r="G17" s="176">
        <v>143</v>
      </c>
      <c r="H17" s="176">
        <v>57</v>
      </c>
      <c r="I17">
        <v>32.52</v>
      </c>
      <c r="J17">
        <f t="shared" si="6"/>
        <v>0.109897610921502</v>
      </c>
      <c r="K17" s="184">
        <f t="shared" si="8"/>
        <v>24</v>
      </c>
    </row>
    <row r="18" spans="1:11">
      <c r="A18" s="175" t="s">
        <v>122</v>
      </c>
      <c r="B18" s="176">
        <v>5</v>
      </c>
      <c r="C18" s="176">
        <f t="shared" si="2"/>
        <v>17.33</v>
      </c>
      <c r="D18" s="176">
        <f t="shared" si="3"/>
        <v>8.67</v>
      </c>
      <c r="E18" s="176">
        <f t="shared" si="4"/>
        <v>8.66</v>
      </c>
      <c r="F18" s="176">
        <f t="shared" si="5"/>
        <v>60</v>
      </c>
      <c r="G18" s="176">
        <v>41</v>
      </c>
      <c r="H18" s="176">
        <v>19</v>
      </c>
      <c r="I18">
        <v>10.08</v>
      </c>
      <c r="J18">
        <f t="shared" si="6"/>
        <v>0.162629757785467</v>
      </c>
      <c r="K18" s="184">
        <f t="shared" si="8"/>
        <v>7</v>
      </c>
    </row>
    <row r="19" spans="1:11">
      <c r="A19" s="173" t="s">
        <v>31</v>
      </c>
      <c r="B19" s="177"/>
      <c r="C19" s="174">
        <f t="shared" ref="C19:K19" si="9">SUM(C20:C25)</f>
        <v>416.47</v>
      </c>
      <c r="D19" s="174">
        <f t="shared" si="9"/>
        <v>262.74</v>
      </c>
      <c r="E19" s="174">
        <f t="shared" si="9"/>
        <v>153.73</v>
      </c>
      <c r="F19" s="174">
        <f t="shared" si="9"/>
        <v>1433</v>
      </c>
      <c r="G19" s="174">
        <f t="shared" si="9"/>
        <v>999</v>
      </c>
      <c r="H19" s="174">
        <f t="shared" si="9"/>
        <v>434</v>
      </c>
      <c r="I19" s="174">
        <f t="shared" si="9"/>
        <v>323.66</v>
      </c>
      <c r="J19" s="186">
        <f t="shared" si="9"/>
        <v>1.37570670680953</v>
      </c>
      <c r="K19" s="174">
        <f t="shared" si="9"/>
        <v>214</v>
      </c>
    </row>
    <row r="20" spans="1:11">
      <c r="A20" s="175" t="s">
        <v>32</v>
      </c>
      <c r="B20" s="176">
        <v>6</v>
      </c>
      <c r="C20" s="176">
        <f t="shared" ref="C20:C25" si="10">G20*0.33+H20*0.2</f>
        <v>165.39</v>
      </c>
      <c r="D20" s="176">
        <f t="shared" ref="D20:D25" si="11">ROUND((G20*0.33+H20*0.2)*B20/10,2)</f>
        <v>99.23</v>
      </c>
      <c r="E20" s="176">
        <f t="shared" ref="E20:E25" si="12">C20-D20</f>
        <v>66.16</v>
      </c>
      <c r="F20" s="176">
        <f t="shared" ref="F20:F25" si="13">G20+H20</f>
        <v>591</v>
      </c>
      <c r="G20" s="176">
        <v>363</v>
      </c>
      <c r="H20" s="176">
        <v>228</v>
      </c>
      <c r="I20">
        <v>119.84</v>
      </c>
      <c r="J20">
        <f t="shared" ref="J20:J25" si="14">(I20-D20)/D20</f>
        <v>0.207699284490577</v>
      </c>
      <c r="K20" s="184">
        <f t="shared" ref="K20:K25" si="15">ROUNDUP(D20*0.8,0)</f>
        <v>80</v>
      </c>
    </row>
    <row r="21" spans="1:11">
      <c r="A21" s="175" t="s">
        <v>33</v>
      </c>
      <c r="B21" s="176">
        <v>6</v>
      </c>
      <c r="C21" s="176">
        <f t="shared" si="10"/>
        <v>56.67</v>
      </c>
      <c r="D21" s="176">
        <f t="shared" si="11"/>
        <v>34</v>
      </c>
      <c r="E21" s="176">
        <f t="shared" si="12"/>
        <v>22.67</v>
      </c>
      <c r="F21" s="176">
        <f t="shared" si="13"/>
        <v>193</v>
      </c>
      <c r="G21" s="176">
        <v>139</v>
      </c>
      <c r="H21" s="176">
        <v>54</v>
      </c>
      <c r="I21">
        <v>40.94</v>
      </c>
      <c r="J21">
        <f t="shared" si="14"/>
        <v>0.204117647058823</v>
      </c>
      <c r="K21" s="184">
        <f t="shared" si="15"/>
        <v>28</v>
      </c>
    </row>
    <row r="22" spans="1:11">
      <c r="A22" s="175" t="s">
        <v>34</v>
      </c>
      <c r="B22" s="176">
        <v>6</v>
      </c>
      <c r="C22" s="176">
        <f t="shared" si="10"/>
        <v>56.6</v>
      </c>
      <c r="D22" s="176">
        <f t="shared" si="11"/>
        <v>33.96</v>
      </c>
      <c r="E22" s="176">
        <f t="shared" si="12"/>
        <v>22.64</v>
      </c>
      <c r="F22" s="176">
        <f t="shared" si="13"/>
        <v>192</v>
      </c>
      <c r="G22" s="176">
        <v>140</v>
      </c>
      <c r="H22" s="176">
        <v>52</v>
      </c>
      <c r="I22">
        <v>40.78</v>
      </c>
      <c r="J22">
        <f t="shared" si="14"/>
        <v>0.200824499411072</v>
      </c>
      <c r="K22" s="184">
        <f t="shared" si="15"/>
        <v>28</v>
      </c>
    </row>
    <row r="23" spans="1:11">
      <c r="A23" s="175" t="s">
        <v>35</v>
      </c>
      <c r="B23" s="176">
        <v>6</v>
      </c>
      <c r="C23" s="176">
        <f t="shared" si="10"/>
        <v>28.24</v>
      </c>
      <c r="D23" s="176">
        <f t="shared" si="11"/>
        <v>16.94</v>
      </c>
      <c r="E23" s="176">
        <f t="shared" si="12"/>
        <v>11.3</v>
      </c>
      <c r="F23" s="176">
        <f t="shared" si="13"/>
        <v>97</v>
      </c>
      <c r="G23" s="176">
        <v>68</v>
      </c>
      <c r="H23" s="176">
        <v>29</v>
      </c>
      <c r="I23">
        <v>20.54</v>
      </c>
      <c r="J23">
        <f t="shared" si="14"/>
        <v>0.212514757969303</v>
      </c>
      <c r="K23" s="184">
        <f t="shared" si="15"/>
        <v>14</v>
      </c>
    </row>
    <row r="24" spans="1:11">
      <c r="A24" s="175" t="s">
        <v>36</v>
      </c>
      <c r="B24" s="176">
        <v>6</v>
      </c>
      <c r="C24" s="176">
        <f t="shared" si="10"/>
        <v>45.25</v>
      </c>
      <c r="D24" s="176">
        <f t="shared" si="11"/>
        <v>27.15</v>
      </c>
      <c r="E24" s="176">
        <f t="shared" si="12"/>
        <v>18.1</v>
      </c>
      <c r="F24" s="176">
        <f t="shared" si="13"/>
        <v>145</v>
      </c>
      <c r="G24" s="176">
        <v>125</v>
      </c>
      <c r="H24" s="176">
        <v>20</v>
      </c>
      <c r="I24">
        <v>33.16</v>
      </c>
      <c r="J24">
        <f t="shared" si="14"/>
        <v>0.221362799263352</v>
      </c>
      <c r="K24" s="184">
        <f t="shared" si="15"/>
        <v>22</v>
      </c>
    </row>
    <row r="25" spans="1:11">
      <c r="A25" s="175" t="s">
        <v>37</v>
      </c>
      <c r="B25" s="176">
        <v>8</v>
      </c>
      <c r="C25" s="176">
        <f t="shared" si="10"/>
        <v>64.32</v>
      </c>
      <c r="D25" s="176">
        <f t="shared" si="11"/>
        <v>51.46</v>
      </c>
      <c r="E25" s="176">
        <f t="shared" si="12"/>
        <v>12.86</v>
      </c>
      <c r="F25" s="176">
        <f t="shared" si="13"/>
        <v>215</v>
      </c>
      <c r="G25" s="176">
        <v>164</v>
      </c>
      <c r="H25" s="176">
        <v>51</v>
      </c>
      <c r="I25">
        <v>68.4</v>
      </c>
      <c r="J25">
        <f t="shared" si="14"/>
        <v>0.329187718616401</v>
      </c>
      <c r="K25" s="184">
        <f t="shared" si="15"/>
        <v>42</v>
      </c>
    </row>
    <row r="26" spans="1:11">
      <c r="A26" s="173" t="s">
        <v>38</v>
      </c>
      <c r="B26" s="177"/>
      <c r="C26" s="174">
        <f t="shared" ref="C26:K26" si="16">SUM(C27:C36)</f>
        <v>551.86</v>
      </c>
      <c r="D26" s="174">
        <f t="shared" si="16"/>
        <v>461.07</v>
      </c>
      <c r="E26" s="174">
        <f t="shared" si="16"/>
        <v>90.79</v>
      </c>
      <c r="F26" s="174">
        <f t="shared" si="16"/>
        <v>2160</v>
      </c>
      <c r="G26" s="174">
        <f t="shared" si="16"/>
        <v>922</v>
      </c>
      <c r="H26" s="174">
        <f t="shared" si="16"/>
        <v>1238</v>
      </c>
      <c r="I26" s="174">
        <f t="shared" si="16"/>
        <v>503.08</v>
      </c>
      <c r="J26" s="186">
        <f t="shared" si="16"/>
        <v>1.64868983085617</v>
      </c>
      <c r="K26" s="174">
        <f t="shared" si="16"/>
        <v>373</v>
      </c>
    </row>
    <row r="27" spans="1:11">
      <c r="A27" s="175" t="s">
        <v>39</v>
      </c>
      <c r="B27" s="176">
        <v>8</v>
      </c>
      <c r="C27" s="176">
        <f t="shared" ref="C27:C36" si="17">G27*0.33+H27*0.2</f>
        <v>116.45</v>
      </c>
      <c r="D27" s="176">
        <f t="shared" ref="D27:D36" si="18">ROUND((G27*0.33+H27*0.2)*B27/10,2)</f>
        <v>93.16</v>
      </c>
      <c r="E27" s="176">
        <f t="shared" ref="E27:E36" si="19">C27-D27</f>
        <v>23.29</v>
      </c>
      <c r="F27" s="176">
        <f t="shared" ref="F27:F36" si="20">G27+H27</f>
        <v>410</v>
      </c>
      <c r="G27" s="176">
        <v>265</v>
      </c>
      <c r="H27" s="176">
        <v>145</v>
      </c>
      <c r="I27">
        <v>99.6</v>
      </c>
      <c r="J27">
        <f t="shared" ref="J27:J36" si="21">(I27-D27)/D27</f>
        <v>0.0691283812795191</v>
      </c>
      <c r="K27" s="184">
        <f t="shared" ref="K27:K36" si="22">ROUNDUP(D27*0.8,0)</f>
        <v>75</v>
      </c>
    </row>
    <row r="28" spans="1:11">
      <c r="A28" s="175" t="s">
        <v>40</v>
      </c>
      <c r="B28" s="176">
        <v>8.5</v>
      </c>
      <c r="C28" s="176">
        <f t="shared" si="17"/>
        <v>21.79</v>
      </c>
      <c r="D28" s="176">
        <f t="shared" si="18"/>
        <v>18.52</v>
      </c>
      <c r="E28" s="176">
        <f t="shared" si="19"/>
        <v>3.27</v>
      </c>
      <c r="F28" s="176">
        <f t="shared" si="20"/>
        <v>68</v>
      </c>
      <c r="G28" s="176">
        <v>63</v>
      </c>
      <c r="H28" s="176">
        <v>5</v>
      </c>
      <c r="I28">
        <v>22.64</v>
      </c>
      <c r="J28">
        <f t="shared" si="21"/>
        <v>0.222462203023758</v>
      </c>
      <c r="K28" s="184">
        <f t="shared" si="22"/>
        <v>15</v>
      </c>
    </row>
    <row r="29" spans="1:11">
      <c r="A29" s="175" t="s">
        <v>41</v>
      </c>
      <c r="B29" s="176">
        <v>8.5</v>
      </c>
      <c r="C29" s="176">
        <f t="shared" si="17"/>
        <v>31.83</v>
      </c>
      <c r="D29" s="176">
        <f t="shared" si="18"/>
        <v>27.06</v>
      </c>
      <c r="E29" s="176">
        <f t="shared" si="19"/>
        <v>4.77</v>
      </c>
      <c r="F29" s="176">
        <f t="shared" si="20"/>
        <v>113</v>
      </c>
      <c r="G29" s="176">
        <v>71</v>
      </c>
      <c r="H29" s="176">
        <v>42</v>
      </c>
      <c r="I29">
        <v>31.92</v>
      </c>
      <c r="J29">
        <f t="shared" si="21"/>
        <v>0.17960088691796</v>
      </c>
      <c r="K29" s="184">
        <f t="shared" si="22"/>
        <v>22</v>
      </c>
    </row>
    <row r="30" spans="1:11">
      <c r="A30" s="175" t="s">
        <v>42</v>
      </c>
      <c r="B30" s="176">
        <v>9</v>
      </c>
      <c r="C30" s="176">
        <f t="shared" si="17"/>
        <v>126.04</v>
      </c>
      <c r="D30" s="176">
        <f t="shared" si="18"/>
        <v>113.44</v>
      </c>
      <c r="E30" s="176">
        <f t="shared" si="19"/>
        <v>12.6</v>
      </c>
      <c r="F30" s="176">
        <f t="shared" si="20"/>
        <v>534</v>
      </c>
      <c r="G30" s="176">
        <v>148</v>
      </c>
      <c r="H30" s="176">
        <v>386</v>
      </c>
      <c r="I30">
        <v>127.6</v>
      </c>
      <c r="J30">
        <f t="shared" si="21"/>
        <v>0.124823695345557</v>
      </c>
      <c r="K30" s="184">
        <f t="shared" si="22"/>
        <v>91</v>
      </c>
    </row>
    <row r="31" spans="1:11">
      <c r="A31" s="175" t="s">
        <v>43</v>
      </c>
      <c r="B31" s="176">
        <v>8.5</v>
      </c>
      <c r="C31" s="176">
        <f t="shared" si="17"/>
        <v>37.89</v>
      </c>
      <c r="D31" s="176">
        <f t="shared" si="18"/>
        <v>32.21</v>
      </c>
      <c r="E31" s="176">
        <f t="shared" si="19"/>
        <v>5.68</v>
      </c>
      <c r="F31" s="176">
        <f t="shared" si="20"/>
        <v>129</v>
      </c>
      <c r="G31" s="176">
        <v>93</v>
      </c>
      <c r="H31" s="176">
        <v>36</v>
      </c>
      <c r="I31">
        <v>38.12</v>
      </c>
      <c r="J31">
        <f t="shared" si="21"/>
        <v>0.183483390251475</v>
      </c>
      <c r="K31" s="184">
        <f t="shared" si="22"/>
        <v>26</v>
      </c>
    </row>
    <row r="32" spans="1:11">
      <c r="A32" s="175" t="s">
        <v>44</v>
      </c>
      <c r="B32" s="176">
        <v>8</v>
      </c>
      <c r="C32" s="176">
        <f t="shared" si="17"/>
        <v>3.96</v>
      </c>
      <c r="D32" s="176">
        <f t="shared" si="18"/>
        <v>3.17</v>
      </c>
      <c r="E32" s="176">
        <f t="shared" si="19"/>
        <v>0.79</v>
      </c>
      <c r="F32" s="176">
        <f t="shared" si="20"/>
        <v>12</v>
      </c>
      <c r="G32" s="176">
        <v>12</v>
      </c>
      <c r="H32" s="176">
        <v>0</v>
      </c>
      <c r="I32">
        <v>4.56</v>
      </c>
      <c r="J32">
        <f t="shared" si="21"/>
        <v>0.438485804416404</v>
      </c>
      <c r="K32" s="184">
        <f t="shared" si="22"/>
        <v>3</v>
      </c>
    </row>
    <row r="33" spans="1:11">
      <c r="A33" s="175" t="s">
        <v>45</v>
      </c>
      <c r="B33" s="176">
        <v>8</v>
      </c>
      <c r="C33" s="176">
        <f t="shared" si="17"/>
        <v>45.6</v>
      </c>
      <c r="D33" s="176">
        <f t="shared" si="18"/>
        <v>36.48</v>
      </c>
      <c r="E33" s="176">
        <f t="shared" si="19"/>
        <v>9.12</v>
      </c>
      <c r="F33" s="176">
        <f t="shared" si="20"/>
        <v>189</v>
      </c>
      <c r="G33" s="176">
        <v>60</v>
      </c>
      <c r="H33" s="176">
        <v>129</v>
      </c>
      <c r="I33">
        <v>43.88</v>
      </c>
      <c r="J33">
        <f t="shared" si="21"/>
        <v>0.202850877192983</v>
      </c>
      <c r="K33" s="184">
        <f t="shared" si="22"/>
        <v>30</v>
      </c>
    </row>
    <row r="34" spans="1:11">
      <c r="A34" s="175" t="s">
        <v>46</v>
      </c>
      <c r="B34" s="176">
        <v>9</v>
      </c>
      <c r="C34" s="176">
        <f t="shared" si="17"/>
        <v>23.91</v>
      </c>
      <c r="D34" s="176">
        <f t="shared" si="18"/>
        <v>21.52</v>
      </c>
      <c r="E34" s="176">
        <f t="shared" si="19"/>
        <v>2.39</v>
      </c>
      <c r="F34" s="176">
        <f t="shared" si="20"/>
        <v>76</v>
      </c>
      <c r="G34" s="176">
        <v>67</v>
      </c>
      <c r="H34" s="176">
        <v>9</v>
      </c>
      <c r="I34">
        <v>25.4</v>
      </c>
      <c r="J34">
        <f t="shared" si="21"/>
        <v>0.180297397769517</v>
      </c>
      <c r="K34" s="184">
        <f t="shared" si="22"/>
        <v>18</v>
      </c>
    </row>
    <row r="35" spans="1:11">
      <c r="A35" s="175" t="s">
        <v>47</v>
      </c>
      <c r="B35" s="176">
        <v>8</v>
      </c>
      <c r="C35" s="176">
        <f t="shared" si="17"/>
        <v>41.74</v>
      </c>
      <c r="D35" s="176">
        <f t="shared" si="18"/>
        <v>33.39</v>
      </c>
      <c r="E35" s="176">
        <f t="shared" si="19"/>
        <v>8.35</v>
      </c>
      <c r="F35" s="176">
        <f t="shared" si="20"/>
        <v>184</v>
      </c>
      <c r="G35" s="176">
        <v>38</v>
      </c>
      <c r="H35" s="176">
        <v>146</v>
      </c>
      <c r="I35">
        <v>40.28</v>
      </c>
      <c r="J35">
        <f t="shared" si="21"/>
        <v>0.206349206349206</v>
      </c>
      <c r="K35" s="184">
        <f t="shared" si="22"/>
        <v>27</v>
      </c>
    </row>
    <row r="36" spans="1:11">
      <c r="A36" s="175" t="s">
        <v>48</v>
      </c>
      <c r="B36" s="176">
        <v>8</v>
      </c>
      <c r="C36" s="176">
        <f t="shared" si="17"/>
        <v>102.65</v>
      </c>
      <c r="D36" s="176">
        <f t="shared" si="18"/>
        <v>82.12</v>
      </c>
      <c r="E36" s="176">
        <f t="shared" si="19"/>
        <v>20.53</v>
      </c>
      <c r="F36" s="176">
        <f t="shared" si="20"/>
        <v>445</v>
      </c>
      <c r="G36" s="176">
        <v>105</v>
      </c>
      <c r="H36" s="176">
        <v>340</v>
      </c>
      <c r="I36">
        <v>69.08</v>
      </c>
      <c r="J36">
        <f t="shared" si="21"/>
        <v>-0.15879201169021</v>
      </c>
      <c r="K36" s="184">
        <f t="shared" si="22"/>
        <v>66</v>
      </c>
    </row>
    <row r="37" spans="1:11">
      <c r="A37" s="173" t="s">
        <v>49</v>
      </c>
      <c r="B37" s="178"/>
      <c r="C37" s="174">
        <f t="shared" ref="C37:K37" si="23">SUM(C38:C49)</f>
        <v>1460.19</v>
      </c>
      <c r="D37" s="174">
        <f t="shared" si="23"/>
        <v>901.85</v>
      </c>
      <c r="E37" s="174">
        <f t="shared" si="23"/>
        <v>558.34</v>
      </c>
      <c r="F37" s="174">
        <f t="shared" si="23"/>
        <v>5570</v>
      </c>
      <c r="G37" s="174">
        <f t="shared" si="23"/>
        <v>2663</v>
      </c>
      <c r="H37" s="174">
        <f t="shared" si="23"/>
        <v>2907</v>
      </c>
      <c r="I37" s="174">
        <f t="shared" si="23"/>
        <v>886.62</v>
      </c>
      <c r="J37" s="186">
        <f t="shared" si="23"/>
        <v>1.11899135440143</v>
      </c>
      <c r="K37" s="174">
        <f t="shared" si="23"/>
        <v>719</v>
      </c>
    </row>
    <row r="38" spans="1:11">
      <c r="A38" s="175" t="s">
        <v>50</v>
      </c>
      <c r="B38" s="176">
        <v>5</v>
      </c>
      <c r="C38" s="176">
        <f t="shared" ref="C38:C49" si="24">G38*0.33+H38*0.2</f>
        <v>341.25</v>
      </c>
      <c r="D38" s="176">
        <f t="shared" ref="D38:D49" si="25">ROUND((G38*0.33+H38*0.2)*B38/10,2)</f>
        <v>170.63</v>
      </c>
      <c r="E38" s="176">
        <f t="shared" ref="E38:E49" si="26">C38-D38</f>
        <v>170.62</v>
      </c>
      <c r="F38" s="176">
        <f t="shared" ref="F38:F49" si="27">G38+H38</f>
        <v>1469</v>
      </c>
      <c r="G38" s="176">
        <v>365</v>
      </c>
      <c r="H38" s="176">
        <v>1104</v>
      </c>
      <c r="I38">
        <v>131.96</v>
      </c>
      <c r="J38">
        <f t="shared" ref="J38:J49" si="28">(I38-D38)/D38</f>
        <v>-0.22663072144406</v>
      </c>
      <c r="K38" s="184">
        <f t="shared" ref="K38:K48" si="29">ROUNDUP(D38*0.8,0)</f>
        <v>137</v>
      </c>
    </row>
    <row r="39" spans="1:11">
      <c r="A39" s="175" t="s">
        <v>51</v>
      </c>
      <c r="B39" s="176">
        <v>5</v>
      </c>
      <c r="C39" s="176">
        <f t="shared" si="24"/>
        <v>23.83</v>
      </c>
      <c r="D39" s="176">
        <f t="shared" si="25"/>
        <v>11.92</v>
      </c>
      <c r="E39" s="176">
        <f t="shared" si="26"/>
        <v>11.91</v>
      </c>
      <c r="F39" s="176">
        <f t="shared" si="27"/>
        <v>86</v>
      </c>
      <c r="G39" s="176">
        <v>51</v>
      </c>
      <c r="H39" s="176">
        <v>35</v>
      </c>
      <c r="I39">
        <v>9.78</v>
      </c>
      <c r="J39">
        <f t="shared" si="28"/>
        <v>-0.179530201342282</v>
      </c>
      <c r="K39" s="184">
        <f t="shared" si="29"/>
        <v>10</v>
      </c>
    </row>
    <row r="40" spans="1:11">
      <c r="A40" s="175" t="s">
        <v>52</v>
      </c>
      <c r="B40" s="176">
        <v>5</v>
      </c>
      <c r="C40" s="176">
        <f t="shared" si="24"/>
        <v>84.78</v>
      </c>
      <c r="D40" s="176">
        <f t="shared" si="25"/>
        <v>42.39</v>
      </c>
      <c r="E40" s="176">
        <f t="shared" si="26"/>
        <v>42.39</v>
      </c>
      <c r="F40" s="176">
        <f t="shared" si="27"/>
        <v>316</v>
      </c>
      <c r="G40" s="176">
        <v>166</v>
      </c>
      <c r="H40" s="176">
        <v>150</v>
      </c>
      <c r="I40">
        <v>38.24</v>
      </c>
      <c r="J40">
        <f t="shared" si="28"/>
        <v>-0.0979004482189195</v>
      </c>
      <c r="K40" s="184">
        <f t="shared" si="29"/>
        <v>34</v>
      </c>
    </row>
    <row r="41" spans="1:11">
      <c r="A41" s="175" t="s">
        <v>53</v>
      </c>
      <c r="B41" s="176">
        <v>5</v>
      </c>
      <c r="C41" s="176">
        <f t="shared" si="24"/>
        <v>38.16</v>
      </c>
      <c r="D41" s="176">
        <f t="shared" si="25"/>
        <v>19.08</v>
      </c>
      <c r="E41" s="176">
        <f t="shared" si="26"/>
        <v>19.08</v>
      </c>
      <c r="F41" s="176">
        <f t="shared" si="27"/>
        <v>131</v>
      </c>
      <c r="G41" s="176">
        <v>92</v>
      </c>
      <c r="H41" s="176">
        <v>39</v>
      </c>
      <c r="I41">
        <v>15.6</v>
      </c>
      <c r="J41">
        <f t="shared" si="28"/>
        <v>-0.182389937106918</v>
      </c>
      <c r="K41" s="184">
        <f t="shared" si="29"/>
        <v>16</v>
      </c>
    </row>
    <row r="42" spans="1:11">
      <c r="A42" s="175" t="s">
        <v>54</v>
      </c>
      <c r="B42" s="176">
        <v>6</v>
      </c>
      <c r="C42" s="176">
        <f t="shared" si="24"/>
        <v>76.55</v>
      </c>
      <c r="D42" s="176">
        <f t="shared" si="25"/>
        <v>45.93</v>
      </c>
      <c r="E42" s="176">
        <f t="shared" si="26"/>
        <v>30.62</v>
      </c>
      <c r="F42" s="176">
        <f t="shared" si="27"/>
        <v>282</v>
      </c>
      <c r="G42" s="176">
        <v>155</v>
      </c>
      <c r="H42" s="176">
        <v>127</v>
      </c>
      <c r="I42">
        <v>54.36</v>
      </c>
      <c r="J42">
        <f t="shared" si="28"/>
        <v>0.183540169823645</v>
      </c>
      <c r="K42" s="184">
        <f t="shared" si="29"/>
        <v>37</v>
      </c>
    </row>
    <row r="43" spans="1:11">
      <c r="A43" s="175" t="s">
        <v>55</v>
      </c>
      <c r="B43" s="176">
        <v>8.5</v>
      </c>
      <c r="C43" s="176">
        <f t="shared" si="24"/>
        <v>209.02</v>
      </c>
      <c r="D43" s="176">
        <f t="shared" si="25"/>
        <v>177.67</v>
      </c>
      <c r="E43" s="176">
        <f t="shared" si="26"/>
        <v>31.35</v>
      </c>
      <c r="F43" s="176">
        <f t="shared" si="27"/>
        <v>763</v>
      </c>
      <c r="G43" s="176">
        <v>434</v>
      </c>
      <c r="H43" s="176">
        <v>329</v>
      </c>
      <c r="I43">
        <v>207.6</v>
      </c>
      <c r="J43">
        <f t="shared" si="28"/>
        <v>0.168458377891597</v>
      </c>
      <c r="K43" s="184">
        <f t="shared" si="29"/>
        <v>143</v>
      </c>
    </row>
    <row r="44" spans="1:11">
      <c r="A44" s="175" t="s">
        <v>56</v>
      </c>
      <c r="B44" s="176">
        <v>9</v>
      </c>
      <c r="C44" s="176">
        <f t="shared" si="24"/>
        <v>44.81</v>
      </c>
      <c r="D44" s="176">
        <f t="shared" si="25"/>
        <v>40.33</v>
      </c>
      <c r="E44" s="176">
        <f t="shared" si="26"/>
        <v>4.48</v>
      </c>
      <c r="F44" s="176">
        <f t="shared" si="27"/>
        <v>148</v>
      </c>
      <c r="G44" s="176">
        <v>117</v>
      </c>
      <c r="H44" s="176">
        <v>31</v>
      </c>
      <c r="I44">
        <v>45.72</v>
      </c>
      <c r="J44">
        <f t="shared" si="28"/>
        <v>0.133647408876767</v>
      </c>
      <c r="K44" s="184">
        <f t="shared" si="29"/>
        <v>33</v>
      </c>
    </row>
    <row r="45" spans="1:11">
      <c r="A45" s="175" t="s">
        <v>57</v>
      </c>
      <c r="B45" s="176">
        <v>8.5</v>
      </c>
      <c r="C45" s="176">
        <f t="shared" si="24"/>
        <v>56.29</v>
      </c>
      <c r="D45" s="176">
        <f t="shared" si="25"/>
        <v>47.85</v>
      </c>
      <c r="E45" s="176">
        <f t="shared" si="26"/>
        <v>8.44</v>
      </c>
      <c r="F45" s="176">
        <f t="shared" si="27"/>
        <v>208</v>
      </c>
      <c r="G45" s="176">
        <v>113</v>
      </c>
      <c r="H45" s="176">
        <v>95</v>
      </c>
      <c r="I45">
        <v>56.6</v>
      </c>
      <c r="J45">
        <f t="shared" si="28"/>
        <v>0.182863113897597</v>
      </c>
      <c r="K45" s="184">
        <f t="shared" si="29"/>
        <v>39</v>
      </c>
    </row>
    <row r="46" spans="1:11">
      <c r="A46" s="175" t="s">
        <v>58</v>
      </c>
      <c r="B46" s="176">
        <v>5</v>
      </c>
      <c r="C46" s="176">
        <f t="shared" si="24"/>
        <v>86.43</v>
      </c>
      <c r="D46" s="176">
        <f t="shared" si="25"/>
        <v>43.22</v>
      </c>
      <c r="E46" s="176">
        <f t="shared" si="26"/>
        <v>43.21</v>
      </c>
      <c r="F46" s="176">
        <f t="shared" si="27"/>
        <v>360</v>
      </c>
      <c r="G46" s="176">
        <v>111</v>
      </c>
      <c r="H46" s="176">
        <v>249</v>
      </c>
      <c r="I46">
        <v>33.16</v>
      </c>
      <c r="J46">
        <f t="shared" si="28"/>
        <v>-0.232762609902823</v>
      </c>
      <c r="K46" s="184">
        <f t="shared" si="29"/>
        <v>35</v>
      </c>
    </row>
    <row r="47" spans="1:11">
      <c r="A47" s="175" t="s">
        <v>59</v>
      </c>
      <c r="B47" s="176">
        <v>5</v>
      </c>
      <c r="C47" s="176">
        <f t="shared" si="24"/>
        <v>300.89</v>
      </c>
      <c r="D47" s="176">
        <f t="shared" si="25"/>
        <v>150.45</v>
      </c>
      <c r="E47" s="176">
        <f t="shared" si="26"/>
        <v>150.44</v>
      </c>
      <c r="F47" s="176">
        <f t="shared" si="27"/>
        <v>1093</v>
      </c>
      <c r="G47" s="176">
        <v>633</v>
      </c>
      <c r="H47" s="176">
        <v>460</v>
      </c>
      <c r="I47">
        <v>121.6</v>
      </c>
      <c r="J47">
        <f t="shared" si="28"/>
        <v>-0.191758059155866</v>
      </c>
      <c r="K47" s="184">
        <f t="shared" si="29"/>
        <v>121</v>
      </c>
    </row>
    <row r="48" spans="1:11">
      <c r="A48" s="175" t="s">
        <v>60</v>
      </c>
      <c r="B48" s="176">
        <v>8</v>
      </c>
      <c r="C48" s="176">
        <f t="shared" si="24"/>
        <v>177.61</v>
      </c>
      <c r="D48" s="176">
        <f t="shared" si="25"/>
        <v>142.09</v>
      </c>
      <c r="E48" s="176">
        <f t="shared" si="26"/>
        <v>35.52</v>
      </c>
      <c r="F48" s="176">
        <f t="shared" si="27"/>
        <v>643</v>
      </c>
      <c r="G48" s="176">
        <v>377</v>
      </c>
      <c r="H48" s="176">
        <v>266</v>
      </c>
      <c r="I48">
        <v>145.92</v>
      </c>
      <c r="J48">
        <f t="shared" si="28"/>
        <v>0.0269547469913434</v>
      </c>
      <c r="K48" s="184">
        <f t="shared" si="29"/>
        <v>114</v>
      </c>
    </row>
    <row r="49" spans="1:11">
      <c r="A49" s="175" t="s">
        <v>61</v>
      </c>
      <c r="B49" s="176">
        <v>5</v>
      </c>
      <c r="C49" s="176">
        <f t="shared" si="24"/>
        <v>20.57</v>
      </c>
      <c r="D49" s="176">
        <f t="shared" si="25"/>
        <v>10.29</v>
      </c>
      <c r="E49" s="176">
        <f t="shared" si="26"/>
        <v>10.28</v>
      </c>
      <c r="F49" s="176">
        <f t="shared" si="27"/>
        <v>71</v>
      </c>
      <c r="G49" s="176">
        <v>49</v>
      </c>
      <c r="H49" s="176">
        <v>22</v>
      </c>
      <c r="I49">
        <v>26.08</v>
      </c>
      <c r="J49">
        <f t="shared" si="28"/>
        <v>1.53449951409135</v>
      </c>
      <c r="K49" s="187">
        <v>0</v>
      </c>
    </row>
    <row r="50" spans="1:11">
      <c r="A50" s="173" t="s">
        <v>62</v>
      </c>
      <c r="B50" s="178"/>
      <c r="C50" s="174">
        <f t="shared" ref="C50:K50" si="30">SUM(C51:C62)</f>
        <v>740.89</v>
      </c>
      <c r="D50" s="174">
        <f t="shared" si="30"/>
        <v>458.46</v>
      </c>
      <c r="E50" s="174">
        <f t="shared" si="30"/>
        <v>282.43</v>
      </c>
      <c r="F50" s="174">
        <f t="shared" si="30"/>
        <v>2734</v>
      </c>
      <c r="G50" s="174">
        <f t="shared" si="30"/>
        <v>1493</v>
      </c>
      <c r="H50" s="174">
        <f t="shared" si="30"/>
        <v>1241</v>
      </c>
      <c r="I50" s="174">
        <f t="shared" si="30"/>
        <v>568.82</v>
      </c>
      <c r="J50" s="186">
        <f t="shared" si="30"/>
        <v>3.43899851161689</v>
      </c>
      <c r="K50" s="174">
        <f t="shared" si="30"/>
        <v>333</v>
      </c>
    </row>
    <row r="51" spans="1:11">
      <c r="A51" s="175" t="s">
        <v>63</v>
      </c>
      <c r="B51" s="176">
        <v>5</v>
      </c>
      <c r="C51" s="176">
        <f t="shared" ref="C51:C62" si="31">G51*0.33+H51*0.2</f>
        <v>370.75</v>
      </c>
      <c r="D51" s="176">
        <f t="shared" ref="D51:D62" si="32">ROUND((G51*0.33+H51*0.2)*B51/10,2)</f>
        <v>185.38</v>
      </c>
      <c r="E51" s="176">
        <f t="shared" ref="E51:E62" si="33">C51-D51</f>
        <v>185.37</v>
      </c>
      <c r="F51" s="176">
        <f t="shared" ref="F51:F62" si="34">G51+H51</f>
        <v>1428</v>
      </c>
      <c r="G51" s="176">
        <v>655</v>
      </c>
      <c r="H51" s="176">
        <v>773</v>
      </c>
      <c r="I51">
        <v>200.68</v>
      </c>
      <c r="J51">
        <f t="shared" ref="J51:J62" si="35">(I51-D51)/D51</f>
        <v>0.0825331750997951</v>
      </c>
      <c r="K51" s="184">
        <f t="shared" ref="K51:K57" si="36">ROUNDUP(D51*0.8,0)</f>
        <v>149</v>
      </c>
    </row>
    <row r="52" spans="1:11">
      <c r="A52" s="175" t="s">
        <v>64</v>
      </c>
      <c r="B52" s="176">
        <v>5</v>
      </c>
      <c r="C52" s="176">
        <f t="shared" si="31"/>
        <v>8.02</v>
      </c>
      <c r="D52" s="176">
        <f t="shared" si="32"/>
        <v>4.01</v>
      </c>
      <c r="E52" s="176">
        <f t="shared" si="33"/>
        <v>4.01</v>
      </c>
      <c r="F52" s="176">
        <f t="shared" si="34"/>
        <v>31</v>
      </c>
      <c r="G52" s="176">
        <v>14</v>
      </c>
      <c r="H52" s="176">
        <v>17</v>
      </c>
      <c r="I52">
        <v>5.2</v>
      </c>
      <c r="J52">
        <f t="shared" si="35"/>
        <v>0.296758104738155</v>
      </c>
      <c r="K52" s="184">
        <f t="shared" si="36"/>
        <v>4</v>
      </c>
    </row>
    <row r="53" spans="1:11">
      <c r="A53" s="175" t="s">
        <v>65</v>
      </c>
      <c r="B53" s="176">
        <v>8.5</v>
      </c>
      <c r="C53" s="176">
        <f t="shared" si="31"/>
        <v>62.66</v>
      </c>
      <c r="D53" s="176">
        <f t="shared" si="32"/>
        <v>53.26</v>
      </c>
      <c r="E53" s="176">
        <f t="shared" si="33"/>
        <v>9.4</v>
      </c>
      <c r="F53" s="176">
        <f t="shared" si="34"/>
        <v>221</v>
      </c>
      <c r="G53" s="176">
        <v>142</v>
      </c>
      <c r="H53" s="176">
        <v>79</v>
      </c>
      <c r="I53">
        <v>48.24</v>
      </c>
      <c r="J53">
        <f t="shared" si="35"/>
        <v>-0.0942546000751032</v>
      </c>
      <c r="K53" s="184">
        <f t="shared" si="36"/>
        <v>43</v>
      </c>
    </row>
    <row r="54" spans="1:11">
      <c r="A54" s="175" t="s">
        <v>66</v>
      </c>
      <c r="B54" s="176">
        <v>6</v>
      </c>
      <c r="C54" s="176">
        <f t="shared" si="31"/>
        <v>36.84</v>
      </c>
      <c r="D54" s="176">
        <f t="shared" si="32"/>
        <v>22.1</v>
      </c>
      <c r="E54" s="176">
        <f t="shared" si="33"/>
        <v>14.74</v>
      </c>
      <c r="F54" s="176">
        <f t="shared" si="34"/>
        <v>127</v>
      </c>
      <c r="G54" s="176">
        <v>88</v>
      </c>
      <c r="H54" s="176">
        <v>39</v>
      </c>
      <c r="I54">
        <v>36.8</v>
      </c>
      <c r="J54">
        <f t="shared" si="35"/>
        <v>0.665158371040724</v>
      </c>
      <c r="K54" s="184">
        <f t="shared" si="36"/>
        <v>18</v>
      </c>
    </row>
    <row r="55" spans="1:11">
      <c r="A55" s="175" t="s">
        <v>67</v>
      </c>
      <c r="B55" s="176">
        <v>8.5</v>
      </c>
      <c r="C55" s="176">
        <f t="shared" si="31"/>
        <v>44.75</v>
      </c>
      <c r="D55" s="176">
        <f t="shared" si="32"/>
        <v>38.04</v>
      </c>
      <c r="E55" s="176">
        <f t="shared" si="33"/>
        <v>6.71</v>
      </c>
      <c r="F55" s="176">
        <f t="shared" si="34"/>
        <v>162</v>
      </c>
      <c r="G55" s="176">
        <v>95</v>
      </c>
      <c r="H55" s="176">
        <v>67</v>
      </c>
      <c r="I55">
        <v>44.6</v>
      </c>
      <c r="J55">
        <f t="shared" si="35"/>
        <v>0.172450052576236</v>
      </c>
      <c r="K55" s="184">
        <f t="shared" si="36"/>
        <v>31</v>
      </c>
    </row>
    <row r="56" spans="1:11">
      <c r="A56" s="175" t="s">
        <v>68</v>
      </c>
      <c r="B56" s="176">
        <v>6</v>
      </c>
      <c r="C56" s="176">
        <f t="shared" si="31"/>
        <v>16.29</v>
      </c>
      <c r="D56" s="176">
        <f t="shared" si="32"/>
        <v>9.77</v>
      </c>
      <c r="E56" s="176">
        <f t="shared" si="33"/>
        <v>6.52</v>
      </c>
      <c r="F56" s="176">
        <f t="shared" si="34"/>
        <v>60</v>
      </c>
      <c r="G56" s="176">
        <v>33</v>
      </c>
      <c r="H56" s="176">
        <v>27</v>
      </c>
      <c r="I56">
        <v>12.66</v>
      </c>
      <c r="J56">
        <f t="shared" si="35"/>
        <v>0.295803480040942</v>
      </c>
      <c r="K56" s="184">
        <f t="shared" si="36"/>
        <v>8</v>
      </c>
    </row>
    <row r="57" spans="1:11">
      <c r="A57" s="175" t="s">
        <v>69</v>
      </c>
      <c r="B57" s="176">
        <v>8</v>
      </c>
      <c r="C57" s="176">
        <f t="shared" si="31"/>
        <v>28.97</v>
      </c>
      <c r="D57" s="176">
        <f t="shared" si="32"/>
        <v>23.18</v>
      </c>
      <c r="E57" s="176">
        <f t="shared" si="33"/>
        <v>5.79</v>
      </c>
      <c r="F57" s="176">
        <f t="shared" si="34"/>
        <v>100</v>
      </c>
      <c r="G57" s="176">
        <v>69</v>
      </c>
      <c r="H57" s="176">
        <v>31</v>
      </c>
      <c r="I57">
        <v>28.52</v>
      </c>
      <c r="J57">
        <f t="shared" si="35"/>
        <v>0.23037100949094</v>
      </c>
      <c r="K57" s="184">
        <f t="shared" si="36"/>
        <v>19</v>
      </c>
    </row>
    <row r="58" spans="1:11">
      <c r="A58" s="175" t="s">
        <v>70</v>
      </c>
      <c r="B58" s="176">
        <v>8.5</v>
      </c>
      <c r="C58" s="176">
        <f t="shared" si="31"/>
        <v>56.77</v>
      </c>
      <c r="D58" s="176">
        <f t="shared" si="32"/>
        <v>48.25</v>
      </c>
      <c r="E58" s="176">
        <f t="shared" si="33"/>
        <v>8.52</v>
      </c>
      <c r="F58" s="176">
        <f t="shared" si="34"/>
        <v>200</v>
      </c>
      <c r="G58" s="176">
        <v>129</v>
      </c>
      <c r="H58" s="176">
        <v>71</v>
      </c>
      <c r="I58">
        <v>106.24</v>
      </c>
      <c r="J58">
        <f t="shared" si="35"/>
        <v>1.20186528497409</v>
      </c>
      <c r="K58" s="187">
        <v>0</v>
      </c>
    </row>
    <row r="59" spans="1:11">
      <c r="A59" s="175" t="s">
        <v>71</v>
      </c>
      <c r="B59" s="176">
        <v>8.5</v>
      </c>
      <c r="C59" s="176">
        <f t="shared" si="31"/>
        <v>31.73</v>
      </c>
      <c r="D59" s="176">
        <f t="shared" si="32"/>
        <v>26.97</v>
      </c>
      <c r="E59" s="176">
        <f t="shared" si="33"/>
        <v>4.76</v>
      </c>
      <c r="F59" s="176">
        <f t="shared" si="34"/>
        <v>106</v>
      </c>
      <c r="G59" s="176">
        <v>81</v>
      </c>
      <c r="H59" s="176">
        <v>25</v>
      </c>
      <c r="I59">
        <v>32.52</v>
      </c>
      <c r="J59">
        <f t="shared" si="35"/>
        <v>0.205784204671858</v>
      </c>
      <c r="K59" s="184">
        <f t="shared" ref="K59:K62" si="37">ROUNDUP(D59*0.8,0)</f>
        <v>22</v>
      </c>
    </row>
    <row r="60" spans="1:11">
      <c r="A60" s="175" t="s">
        <v>72</v>
      </c>
      <c r="B60" s="176">
        <v>9</v>
      </c>
      <c r="C60" s="176">
        <f t="shared" si="31"/>
        <v>13.61</v>
      </c>
      <c r="D60" s="176">
        <f t="shared" si="32"/>
        <v>12.25</v>
      </c>
      <c r="E60" s="176">
        <f t="shared" si="33"/>
        <v>1.36</v>
      </c>
      <c r="F60" s="176">
        <f t="shared" si="34"/>
        <v>44</v>
      </c>
      <c r="G60" s="176">
        <v>37</v>
      </c>
      <c r="H60" s="176">
        <v>7</v>
      </c>
      <c r="I60">
        <v>14.16</v>
      </c>
      <c r="J60">
        <f t="shared" si="35"/>
        <v>0.155918367346939</v>
      </c>
      <c r="K60" s="184">
        <f t="shared" si="37"/>
        <v>10</v>
      </c>
    </row>
    <row r="61" spans="1:11">
      <c r="A61" s="175" t="s">
        <v>73</v>
      </c>
      <c r="B61" s="176">
        <v>5</v>
      </c>
      <c r="C61" s="176">
        <f t="shared" si="31"/>
        <v>44.88</v>
      </c>
      <c r="D61" s="176">
        <f t="shared" si="32"/>
        <v>22.44</v>
      </c>
      <c r="E61" s="176">
        <f t="shared" si="33"/>
        <v>22.44</v>
      </c>
      <c r="F61" s="176">
        <f t="shared" si="34"/>
        <v>162</v>
      </c>
      <c r="G61" s="176">
        <v>96</v>
      </c>
      <c r="H61" s="176">
        <v>66</v>
      </c>
      <c r="I61">
        <v>24.88</v>
      </c>
      <c r="J61">
        <f t="shared" si="35"/>
        <v>0.10873440285205</v>
      </c>
      <c r="K61" s="184">
        <f t="shared" si="37"/>
        <v>18</v>
      </c>
    </row>
    <row r="62" spans="1:11">
      <c r="A62" s="175" t="s">
        <v>75</v>
      </c>
      <c r="B62" s="176">
        <v>5</v>
      </c>
      <c r="C62" s="176">
        <f t="shared" si="31"/>
        <v>25.62</v>
      </c>
      <c r="D62" s="176">
        <f t="shared" si="32"/>
        <v>12.81</v>
      </c>
      <c r="E62" s="176">
        <f t="shared" si="33"/>
        <v>12.81</v>
      </c>
      <c r="F62" s="176">
        <f t="shared" si="34"/>
        <v>93</v>
      </c>
      <c r="G62" s="176">
        <v>54</v>
      </c>
      <c r="H62" s="176">
        <v>39</v>
      </c>
      <c r="I62">
        <v>14.32</v>
      </c>
      <c r="J62">
        <f t="shared" si="35"/>
        <v>0.117876658860265</v>
      </c>
      <c r="K62" s="184">
        <f t="shared" si="37"/>
        <v>11</v>
      </c>
    </row>
    <row r="63" spans="1:11">
      <c r="A63" s="173" t="s">
        <v>76</v>
      </c>
      <c r="B63" s="177"/>
      <c r="C63" s="174">
        <f t="shared" ref="C63:K63" si="38">SUM(C64:C73)</f>
        <v>531.32</v>
      </c>
      <c r="D63" s="174">
        <f t="shared" si="38"/>
        <v>445.57</v>
      </c>
      <c r="E63" s="174">
        <f t="shared" si="38"/>
        <v>85.75</v>
      </c>
      <c r="F63" s="174">
        <f t="shared" si="38"/>
        <v>1939</v>
      </c>
      <c r="G63" s="174">
        <f t="shared" si="38"/>
        <v>1104</v>
      </c>
      <c r="H63" s="174">
        <f t="shared" si="38"/>
        <v>835</v>
      </c>
      <c r="I63" s="174">
        <f t="shared" si="38"/>
        <v>506.5</v>
      </c>
      <c r="J63" s="186">
        <f t="shared" si="38"/>
        <v>1.66369013936211</v>
      </c>
      <c r="K63" s="174">
        <f t="shared" si="38"/>
        <v>361</v>
      </c>
    </row>
    <row r="64" spans="1:11">
      <c r="A64" s="175" t="s">
        <v>77</v>
      </c>
      <c r="B64" s="176">
        <v>8</v>
      </c>
      <c r="C64" s="176">
        <f t="shared" ref="C64:C73" si="39">G64*0.33+H64*0.2</f>
        <v>158</v>
      </c>
      <c r="D64" s="176">
        <f t="shared" ref="D64:D73" si="40">ROUND((G64*0.33+H64*0.2)*B64/10,2)</f>
        <v>126.4</v>
      </c>
      <c r="E64" s="176">
        <f t="shared" ref="E64:E73" si="41">C64-D64</f>
        <v>31.6</v>
      </c>
      <c r="F64" s="176">
        <f t="shared" ref="F64:F73" si="42">G64+H64</f>
        <v>530</v>
      </c>
      <c r="G64" s="176">
        <v>400</v>
      </c>
      <c r="H64" s="176">
        <v>130</v>
      </c>
      <c r="I64">
        <v>133.9</v>
      </c>
      <c r="J64">
        <f t="shared" ref="J64:J73" si="43">(I64-D64)/D64</f>
        <v>0.0593354430379747</v>
      </c>
      <c r="K64" s="184">
        <f t="shared" ref="K64:K73" si="44">ROUNDUP(D64*0.8,0)</f>
        <v>102</v>
      </c>
    </row>
    <row r="65" spans="1:11">
      <c r="A65" s="175" t="s">
        <v>78</v>
      </c>
      <c r="B65" s="176">
        <v>8</v>
      </c>
      <c r="C65" s="176">
        <f t="shared" si="39"/>
        <v>27.25</v>
      </c>
      <c r="D65" s="176">
        <f t="shared" si="40"/>
        <v>21.8</v>
      </c>
      <c r="E65" s="176">
        <f t="shared" si="41"/>
        <v>5.45</v>
      </c>
      <c r="F65" s="176">
        <f t="shared" si="42"/>
        <v>94</v>
      </c>
      <c r="G65" s="176">
        <v>65</v>
      </c>
      <c r="H65" s="176">
        <v>29</v>
      </c>
      <c r="I65">
        <v>26.56</v>
      </c>
      <c r="J65">
        <f t="shared" si="43"/>
        <v>0.218348623853211</v>
      </c>
      <c r="K65" s="184">
        <f t="shared" si="44"/>
        <v>18</v>
      </c>
    </row>
    <row r="66" spans="1:11">
      <c r="A66" s="175" t="s">
        <v>79</v>
      </c>
      <c r="B66" s="176">
        <v>8.5</v>
      </c>
      <c r="C66" s="176">
        <f t="shared" si="39"/>
        <v>29.6</v>
      </c>
      <c r="D66" s="176">
        <f t="shared" si="40"/>
        <v>25.16</v>
      </c>
      <c r="E66" s="176">
        <f t="shared" si="41"/>
        <v>4.44</v>
      </c>
      <c r="F66" s="176">
        <f t="shared" si="42"/>
        <v>96</v>
      </c>
      <c r="G66" s="176">
        <v>80</v>
      </c>
      <c r="H66" s="176">
        <v>16</v>
      </c>
      <c r="I66">
        <v>29.96</v>
      </c>
      <c r="J66">
        <f t="shared" si="43"/>
        <v>0.190779014308426</v>
      </c>
      <c r="K66" s="184">
        <f t="shared" si="44"/>
        <v>21</v>
      </c>
    </row>
    <row r="67" spans="1:11">
      <c r="A67" s="175" t="s">
        <v>80</v>
      </c>
      <c r="B67" s="176">
        <v>8.5</v>
      </c>
      <c r="C67" s="176">
        <f t="shared" si="39"/>
        <v>33.81</v>
      </c>
      <c r="D67" s="176">
        <f t="shared" si="40"/>
        <v>28.74</v>
      </c>
      <c r="E67" s="176">
        <f t="shared" si="41"/>
        <v>5.07</v>
      </c>
      <c r="F67" s="176">
        <f t="shared" si="42"/>
        <v>106</v>
      </c>
      <c r="G67" s="176">
        <v>97</v>
      </c>
      <c r="H67" s="176">
        <v>9</v>
      </c>
      <c r="I67">
        <v>33.76</v>
      </c>
      <c r="J67">
        <f t="shared" si="43"/>
        <v>0.174669450243563</v>
      </c>
      <c r="K67" s="184">
        <f t="shared" si="44"/>
        <v>23</v>
      </c>
    </row>
    <row r="68" spans="1:11">
      <c r="A68" s="175" t="s">
        <v>81</v>
      </c>
      <c r="B68" s="176">
        <v>9</v>
      </c>
      <c r="C68" s="176">
        <f t="shared" si="39"/>
        <v>63.91</v>
      </c>
      <c r="D68" s="176">
        <f t="shared" si="40"/>
        <v>57.52</v>
      </c>
      <c r="E68" s="176">
        <f t="shared" si="41"/>
        <v>6.39000000000001</v>
      </c>
      <c r="F68" s="176">
        <f t="shared" si="42"/>
        <v>289</v>
      </c>
      <c r="G68" s="176">
        <v>47</v>
      </c>
      <c r="H68" s="176">
        <v>242</v>
      </c>
      <c r="I68">
        <v>62.92</v>
      </c>
      <c r="J68">
        <f t="shared" si="43"/>
        <v>0.0938803894297635</v>
      </c>
      <c r="K68" s="184">
        <f t="shared" si="44"/>
        <v>47</v>
      </c>
    </row>
    <row r="69" spans="1:11">
      <c r="A69" s="175" t="s">
        <v>82</v>
      </c>
      <c r="B69" s="176">
        <v>8.5</v>
      </c>
      <c r="C69" s="176">
        <f t="shared" si="39"/>
        <v>20.23</v>
      </c>
      <c r="D69" s="176">
        <f t="shared" si="40"/>
        <v>17.2</v>
      </c>
      <c r="E69" s="176">
        <f t="shared" si="41"/>
        <v>3.03</v>
      </c>
      <c r="F69" s="176">
        <f t="shared" si="42"/>
        <v>68</v>
      </c>
      <c r="G69" s="176">
        <v>51</v>
      </c>
      <c r="H69" s="176">
        <v>17</v>
      </c>
      <c r="I69">
        <v>20.56</v>
      </c>
      <c r="J69">
        <f t="shared" si="43"/>
        <v>0.195348837209302</v>
      </c>
      <c r="K69" s="184">
        <f t="shared" si="44"/>
        <v>14</v>
      </c>
    </row>
    <row r="70" spans="1:11">
      <c r="A70" s="175" t="s">
        <v>83</v>
      </c>
      <c r="B70" s="176">
        <v>8.5</v>
      </c>
      <c r="C70" s="176">
        <f t="shared" si="39"/>
        <v>30.36</v>
      </c>
      <c r="D70" s="176">
        <f t="shared" si="40"/>
        <v>25.81</v>
      </c>
      <c r="E70" s="176">
        <f t="shared" si="41"/>
        <v>4.55</v>
      </c>
      <c r="F70" s="176">
        <f t="shared" si="42"/>
        <v>92</v>
      </c>
      <c r="G70" s="176">
        <v>92</v>
      </c>
      <c r="H70" s="176">
        <v>0</v>
      </c>
      <c r="I70">
        <v>30.4</v>
      </c>
      <c r="J70">
        <f t="shared" si="43"/>
        <v>0.177838047268501</v>
      </c>
      <c r="K70" s="184">
        <f t="shared" si="44"/>
        <v>21</v>
      </c>
    </row>
    <row r="71" spans="1:11">
      <c r="A71" s="175" t="s">
        <v>84</v>
      </c>
      <c r="B71" s="176">
        <v>8.5</v>
      </c>
      <c r="C71" s="176">
        <f t="shared" si="39"/>
        <v>34.67</v>
      </c>
      <c r="D71" s="176">
        <f t="shared" si="40"/>
        <v>29.47</v>
      </c>
      <c r="E71" s="176">
        <f t="shared" si="41"/>
        <v>5.2</v>
      </c>
      <c r="F71" s="176">
        <f t="shared" si="42"/>
        <v>122</v>
      </c>
      <c r="G71" s="176">
        <v>79</v>
      </c>
      <c r="H71" s="176">
        <v>43</v>
      </c>
      <c r="I71">
        <v>35.12</v>
      </c>
      <c r="J71">
        <f t="shared" si="43"/>
        <v>0.191720393620631</v>
      </c>
      <c r="K71" s="184">
        <f t="shared" si="44"/>
        <v>24</v>
      </c>
    </row>
    <row r="72" spans="1:11">
      <c r="A72" s="175" t="s">
        <v>85</v>
      </c>
      <c r="B72" s="176">
        <v>8.5</v>
      </c>
      <c r="C72" s="176">
        <f t="shared" si="39"/>
        <v>98.4</v>
      </c>
      <c r="D72" s="176">
        <f t="shared" si="40"/>
        <v>83.64</v>
      </c>
      <c r="E72" s="176">
        <f t="shared" si="41"/>
        <v>14.76</v>
      </c>
      <c r="F72" s="176">
        <f t="shared" si="42"/>
        <v>427</v>
      </c>
      <c r="G72" s="176">
        <v>100</v>
      </c>
      <c r="H72" s="176">
        <v>327</v>
      </c>
      <c r="I72">
        <v>97.72</v>
      </c>
      <c r="J72">
        <f t="shared" si="43"/>
        <v>0.168340506934481</v>
      </c>
      <c r="K72" s="184">
        <f t="shared" si="44"/>
        <v>67</v>
      </c>
    </row>
    <row r="73" spans="1:11">
      <c r="A73" s="175" t="s">
        <v>86</v>
      </c>
      <c r="B73" s="176">
        <v>8.5</v>
      </c>
      <c r="C73" s="176">
        <f t="shared" si="39"/>
        <v>35.09</v>
      </c>
      <c r="D73" s="176">
        <f t="shared" si="40"/>
        <v>29.83</v>
      </c>
      <c r="E73" s="176">
        <f t="shared" si="41"/>
        <v>5.26000000000001</v>
      </c>
      <c r="F73" s="176">
        <f t="shared" si="42"/>
        <v>115</v>
      </c>
      <c r="G73" s="176">
        <v>93</v>
      </c>
      <c r="H73" s="176">
        <v>22</v>
      </c>
      <c r="I73">
        <v>35.6</v>
      </c>
      <c r="J73">
        <f t="shared" si="43"/>
        <v>0.193429433456252</v>
      </c>
      <c r="K73" s="184">
        <f t="shared" si="44"/>
        <v>24</v>
      </c>
    </row>
    <row r="74" spans="1:11">
      <c r="A74" s="173" t="s">
        <v>87</v>
      </c>
      <c r="B74" s="177"/>
      <c r="C74" s="174">
        <f t="shared" ref="C74:K74" si="45">SUM(C75:C82)</f>
        <v>828.82</v>
      </c>
      <c r="D74" s="174">
        <f t="shared" si="45"/>
        <v>596.56</v>
      </c>
      <c r="E74" s="174">
        <f t="shared" si="45"/>
        <v>232.26</v>
      </c>
      <c r="F74" s="174">
        <f t="shared" si="45"/>
        <v>3069</v>
      </c>
      <c r="G74" s="174">
        <f t="shared" si="45"/>
        <v>1654</v>
      </c>
      <c r="H74" s="174">
        <f t="shared" si="45"/>
        <v>1415</v>
      </c>
      <c r="I74" s="174">
        <f t="shared" si="45"/>
        <v>610.48</v>
      </c>
      <c r="J74" s="186">
        <f t="shared" si="45"/>
        <v>-0.169103102650578</v>
      </c>
      <c r="K74" s="174">
        <f t="shared" si="45"/>
        <v>481</v>
      </c>
    </row>
    <row r="75" spans="1:11">
      <c r="A75" s="175" t="s">
        <v>88</v>
      </c>
      <c r="B75" s="176">
        <v>6</v>
      </c>
      <c r="C75" s="176">
        <f t="shared" ref="C75:C82" si="46">G75*0.33+H75*0.2</f>
        <v>316.4</v>
      </c>
      <c r="D75" s="176">
        <f t="shared" ref="D75:D82" si="47">ROUND((G75*0.33+H75*0.2)*B75/10,2)</f>
        <v>189.84</v>
      </c>
      <c r="E75" s="176">
        <f t="shared" ref="E75:E82" si="48">C75-D75</f>
        <v>126.56</v>
      </c>
      <c r="F75" s="176">
        <f t="shared" ref="F75:F82" si="49">G75+H75</f>
        <v>1400</v>
      </c>
      <c r="G75" s="176">
        <v>280</v>
      </c>
      <c r="H75" s="176">
        <v>1120</v>
      </c>
      <c r="I75">
        <v>185.48</v>
      </c>
      <c r="J75">
        <f t="shared" ref="J75:J82" si="50">(I75-D75)/D75</f>
        <v>-0.0229667088074168</v>
      </c>
      <c r="K75" s="184">
        <f t="shared" ref="K75:K82" si="51">ROUNDUP(D75*0.8,0)</f>
        <v>152</v>
      </c>
    </row>
    <row r="76" spans="1:11">
      <c r="A76" s="175" t="s">
        <v>89</v>
      </c>
      <c r="B76" s="176">
        <v>6</v>
      </c>
      <c r="C76" s="176">
        <f t="shared" si="46"/>
        <v>116.9</v>
      </c>
      <c r="D76" s="176">
        <f t="shared" si="47"/>
        <v>70.14</v>
      </c>
      <c r="E76" s="176">
        <f t="shared" si="48"/>
        <v>46.76</v>
      </c>
      <c r="F76" s="176">
        <f t="shared" si="49"/>
        <v>409</v>
      </c>
      <c r="G76" s="176">
        <v>270</v>
      </c>
      <c r="H76" s="176">
        <v>139</v>
      </c>
      <c r="I76">
        <v>72.52</v>
      </c>
      <c r="J76">
        <f t="shared" si="50"/>
        <v>0.0339321357285428</v>
      </c>
      <c r="K76" s="184">
        <f t="shared" si="51"/>
        <v>57</v>
      </c>
    </row>
    <row r="77" spans="1:11">
      <c r="A77" s="175" t="s">
        <v>90</v>
      </c>
      <c r="B77" s="176">
        <v>9</v>
      </c>
      <c r="C77" s="176">
        <f t="shared" si="46"/>
        <v>91.03</v>
      </c>
      <c r="D77" s="176">
        <f t="shared" si="47"/>
        <v>81.93</v>
      </c>
      <c r="E77" s="176">
        <f t="shared" si="48"/>
        <v>9.09999999999999</v>
      </c>
      <c r="F77" s="176">
        <f t="shared" si="49"/>
        <v>279</v>
      </c>
      <c r="G77" s="176">
        <v>271</v>
      </c>
      <c r="H77" s="176">
        <v>8</v>
      </c>
      <c r="I77">
        <v>90.76</v>
      </c>
      <c r="J77">
        <f t="shared" si="50"/>
        <v>0.107774929818137</v>
      </c>
      <c r="K77" s="184">
        <f t="shared" si="51"/>
        <v>66</v>
      </c>
    </row>
    <row r="78" spans="1:11">
      <c r="A78" s="175" t="s">
        <v>91</v>
      </c>
      <c r="B78" s="176">
        <v>8</v>
      </c>
      <c r="C78" s="176">
        <f t="shared" si="46"/>
        <v>57.12</v>
      </c>
      <c r="D78" s="176">
        <f t="shared" si="47"/>
        <v>45.7</v>
      </c>
      <c r="E78" s="176">
        <f t="shared" si="48"/>
        <v>11.42</v>
      </c>
      <c r="F78" s="176">
        <f t="shared" si="49"/>
        <v>179</v>
      </c>
      <c r="G78" s="176">
        <v>164</v>
      </c>
      <c r="H78" s="176">
        <v>15</v>
      </c>
      <c r="I78">
        <v>55.12</v>
      </c>
      <c r="J78">
        <f t="shared" si="50"/>
        <v>0.206126914660831</v>
      </c>
      <c r="K78" s="184">
        <f t="shared" si="51"/>
        <v>37</v>
      </c>
    </row>
    <row r="79" spans="1:11">
      <c r="A79" s="175" t="s">
        <v>92</v>
      </c>
      <c r="B79" s="176">
        <v>8</v>
      </c>
      <c r="C79" s="176">
        <f t="shared" si="46"/>
        <v>92.1</v>
      </c>
      <c r="D79" s="176">
        <f t="shared" si="47"/>
        <v>73.68</v>
      </c>
      <c r="E79" s="176">
        <f t="shared" si="48"/>
        <v>18.42</v>
      </c>
      <c r="F79" s="176">
        <f t="shared" si="49"/>
        <v>298</v>
      </c>
      <c r="G79" s="176">
        <v>250</v>
      </c>
      <c r="H79" s="176">
        <v>48</v>
      </c>
      <c r="I79">
        <v>89.36</v>
      </c>
      <c r="J79">
        <f t="shared" si="50"/>
        <v>0.212812160694897</v>
      </c>
      <c r="K79" s="184">
        <f t="shared" si="51"/>
        <v>59</v>
      </c>
    </row>
    <row r="80" spans="1:11">
      <c r="A80" s="175" t="s">
        <v>93</v>
      </c>
      <c r="B80" s="176">
        <v>9</v>
      </c>
      <c r="C80" s="176">
        <f t="shared" si="46"/>
        <v>65.75</v>
      </c>
      <c r="D80" s="176">
        <f t="shared" si="47"/>
        <v>59.18</v>
      </c>
      <c r="E80" s="176">
        <f t="shared" si="48"/>
        <v>6.57000000000001</v>
      </c>
      <c r="F80" s="176">
        <f t="shared" si="49"/>
        <v>202</v>
      </c>
      <c r="G80" s="176">
        <v>195</v>
      </c>
      <c r="H80" s="176">
        <v>7</v>
      </c>
      <c r="I80">
        <v>65.68</v>
      </c>
      <c r="J80">
        <f t="shared" si="50"/>
        <v>0.109834403514701</v>
      </c>
      <c r="K80" s="184">
        <f t="shared" si="51"/>
        <v>48</v>
      </c>
    </row>
    <row r="81" spans="1:11">
      <c r="A81" s="175" t="s">
        <v>94</v>
      </c>
      <c r="B81" s="176">
        <v>8.5</v>
      </c>
      <c r="C81" s="176">
        <f t="shared" si="46"/>
        <v>38.26</v>
      </c>
      <c r="D81" s="176">
        <f t="shared" si="47"/>
        <v>32.52</v>
      </c>
      <c r="E81" s="176">
        <f t="shared" si="48"/>
        <v>5.74</v>
      </c>
      <c r="F81" s="176">
        <f t="shared" si="49"/>
        <v>125</v>
      </c>
      <c r="G81" s="176">
        <v>102</v>
      </c>
      <c r="H81" s="176">
        <v>23</v>
      </c>
      <c r="J81">
        <f t="shared" si="50"/>
        <v>-1</v>
      </c>
      <c r="K81" s="184">
        <f t="shared" si="51"/>
        <v>27</v>
      </c>
    </row>
    <row r="82" spans="1:11">
      <c r="A82" s="175" t="s">
        <v>95</v>
      </c>
      <c r="B82" s="176">
        <v>8.5</v>
      </c>
      <c r="C82" s="176">
        <f t="shared" si="46"/>
        <v>51.26</v>
      </c>
      <c r="D82" s="176">
        <f t="shared" si="47"/>
        <v>43.57</v>
      </c>
      <c r="E82" s="176">
        <f t="shared" si="48"/>
        <v>7.69</v>
      </c>
      <c r="F82" s="176">
        <f t="shared" si="49"/>
        <v>177</v>
      </c>
      <c r="G82" s="176">
        <v>122</v>
      </c>
      <c r="H82" s="176">
        <v>55</v>
      </c>
      <c r="I82">
        <v>51.56</v>
      </c>
      <c r="J82">
        <f t="shared" si="50"/>
        <v>0.183383061739729</v>
      </c>
      <c r="K82" s="184">
        <f t="shared" si="51"/>
        <v>35</v>
      </c>
    </row>
    <row r="83" spans="1:11">
      <c r="A83" s="173" t="s">
        <v>96</v>
      </c>
      <c r="B83" s="177"/>
      <c r="C83" s="174">
        <f t="shared" ref="C83:K83" si="52">SUM(C84:C93)</f>
        <v>916.46</v>
      </c>
      <c r="D83" s="174">
        <f t="shared" si="52"/>
        <v>731.57</v>
      </c>
      <c r="E83" s="174">
        <f t="shared" si="52"/>
        <v>184.89</v>
      </c>
      <c r="F83" s="174">
        <f t="shared" si="52"/>
        <v>3359</v>
      </c>
      <c r="G83" s="174">
        <f t="shared" si="52"/>
        <v>1882</v>
      </c>
      <c r="H83" s="174">
        <f t="shared" si="52"/>
        <v>1477</v>
      </c>
      <c r="I83" s="174">
        <f t="shared" si="52"/>
        <v>907.02</v>
      </c>
      <c r="J83" s="186">
        <f t="shared" si="52"/>
        <v>3.66005844258981</v>
      </c>
      <c r="K83" s="174">
        <f t="shared" si="52"/>
        <v>576</v>
      </c>
    </row>
    <row r="84" spans="1:11">
      <c r="A84" s="175" t="s">
        <v>97</v>
      </c>
      <c r="B84" s="176">
        <v>5</v>
      </c>
      <c r="C84" s="176">
        <f t="shared" ref="C84:C94" si="53">G84*0.33+H84*0.2</f>
        <v>37.79</v>
      </c>
      <c r="D84" s="176">
        <f t="shared" ref="D84:D94" si="54">ROUND((G84*0.33+H84*0.2)*B84/10,2)</f>
        <v>18.9</v>
      </c>
      <c r="E84" s="176">
        <f t="shared" ref="E84:E94" si="55">C84-D84</f>
        <v>18.89</v>
      </c>
      <c r="F84" s="176">
        <f t="shared" ref="F84:F94" si="56">G84+H84</f>
        <v>122</v>
      </c>
      <c r="G84" s="176">
        <v>103</v>
      </c>
      <c r="H84" s="176">
        <v>19</v>
      </c>
      <c r="I84">
        <v>48.98</v>
      </c>
      <c r="J84">
        <f t="shared" ref="J84:J94" si="57">(I84-D84)/D84</f>
        <v>1.59153439153439</v>
      </c>
      <c r="K84" s="187">
        <v>0</v>
      </c>
    </row>
    <row r="85" spans="1:11">
      <c r="A85" s="175" t="s">
        <v>98</v>
      </c>
      <c r="B85" s="176">
        <v>5</v>
      </c>
      <c r="C85" s="176">
        <f t="shared" si="53"/>
        <v>51.41</v>
      </c>
      <c r="D85" s="176">
        <f t="shared" si="54"/>
        <v>25.71</v>
      </c>
      <c r="E85" s="176">
        <f t="shared" si="55"/>
        <v>25.7</v>
      </c>
      <c r="F85" s="176">
        <f t="shared" si="56"/>
        <v>194</v>
      </c>
      <c r="G85" s="176">
        <v>97</v>
      </c>
      <c r="H85" s="176">
        <v>97</v>
      </c>
      <c r="I85">
        <v>42.68</v>
      </c>
      <c r="J85">
        <f t="shared" si="57"/>
        <v>0.660054453520031</v>
      </c>
      <c r="K85" s="184">
        <f t="shared" ref="K85:K94" si="58">ROUNDUP(D85*0.8,0)</f>
        <v>21</v>
      </c>
    </row>
    <row r="86" spans="1:11">
      <c r="A86" s="175" t="s">
        <v>99</v>
      </c>
      <c r="B86" s="176">
        <v>8</v>
      </c>
      <c r="C86" s="176">
        <f t="shared" si="53"/>
        <v>72.02</v>
      </c>
      <c r="D86" s="176">
        <f t="shared" si="54"/>
        <v>57.62</v>
      </c>
      <c r="E86" s="176">
        <f t="shared" si="55"/>
        <v>14.4</v>
      </c>
      <c r="F86" s="176">
        <f t="shared" si="56"/>
        <v>247</v>
      </c>
      <c r="G86" s="176">
        <v>174</v>
      </c>
      <c r="H86" s="176">
        <v>73</v>
      </c>
      <c r="I86">
        <v>70.04</v>
      </c>
      <c r="J86">
        <f t="shared" si="57"/>
        <v>0.215550156195766</v>
      </c>
      <c r="K86" s="184">
        <f t="shared" si="58"/>
        <v>47</v>
      </c>
    </row>
    <row r="87" spans="1:11">
      <c r="A87" s="175" t="s">
        <v>100</v>
      </c>
      <c r="B87" s="176">
        <v>8.5</v>
      </c>
      <c r="C87" s="176">
        <f t="shared" si="53"/>
        <v>42.96</v>
      </c>
      <c r="D87" s="176">
        <f t="shared" si="54"/>
        <v>36.52</v>
      </c>
      <c r="E87" s="176">
        <f t="shared" si="55"/>
        <v>6.44</v>
      </c>
      <c r="F87" s="176">
        <f t="shared" si="56"/>
        <v>155</v>
      </c>
      <c r="G87" s="176">
        <v>92</v>
      </c>
      <c r="H87" s="176">
        <v>63</v>
      </c>
      <c r="I87">
        <v>43.12</v>
      </c>
      <c r="J87">
        <f t="shared" si="57"/>
        <v>0.180722891566265</v>
      </c>
      <c r="K87" s="184">
        <f t="shared" si="58"/>
        <v>30</v>
      </c>
    </row>
    <row r="88" spans="1:11">
      <c r="A88" s="175" t="s">
        <v>101</v>
      </c>
      <c r="B88" s="176">
        <v>9</v>
      </c>
      <c r="C88" s="176">
        <f t="shared" si="53"/>
        <v>50.49</v>
      </c>
      <c r="D88" s="176">
        <f t="shared" si="54"/>
        <v>45.44</v>
      </c>
      <c r="E88" s="176">
        <f t="shared" si="55"/>
        <v>5.05</v>
      </c>
      <c r="F88" s="176">
        <f t="shared" si="56"/>
        <v>153</v>
      </c>
      <c r="G88" s="176">
        <v>153</v>
      </c>
      <c r="H88" s="176">
        <v>0</v>
      </c>
      <c r="I88">
        <v>52.2</v>
      </c>
      <c r="J88">
        <f t="shared" si="57"/>
        <v>0.148767605633803</v>
      </c>
      <c r="K88" s="184">
        <f t="shared" si="58"/>
        <v>37</v>
      </c>
    </row>
    <row r="89" spans="1:11">
      <c r="A89" s="175" t="s">
        <v>102</v>
      </c>
      <c r="B89" s="176">
        <v>9</v>
      </c>
      <c r="C89" s="176">
        <f t="shared" si="53"/>
        <v>51.81</v>
      </c>
      <c r="D89" s="176">
        <f t="shared" si="54"/>
        <v>46.63</v>
      </c>
      <c r="E89" s="176">
        <f t="shared" si="55"/>
        <v>5.18</v>
      </c>
      <c r="F89" s="176">
        <f t="shared" si="56"/>
        <v>157</v>
      </c>
      <c r="G89" s="176">
        <v>157</v>
      </c>
      <c r="H89" s="176">
        <v>0</v>
      </c>
      <c r="I89">
        <v>53.92</v>
      </c>
      <c r="J89">
        <f t="shared" si="57"/>
        <v>0.156337122024448</v>
      </c>
      <c r="K89" s="184">
        <f t="shared" si="58"/>
        <v>38</v>
      </c>
    </row>
    <row r="90" spans="1:11">
      <c r="A90" s="175" t="s">
        <v>103</v>
      </c>
      <c r="B90" s="176">
        <v>9</v>
      </c>
      <c r="C90" s="176">
        <f t="shared" si="53"/>
        <v>58.68</v>
      </c>
      <c r="D90" s="176">
        <f t="shared" si="54"/>
        <v>52.81</v>
      </c>
      <c r="E90" s="176">
        <f t="shared" si="55"/>
        <v>5.87</v>
      </c>
      <c r="F90" s="176">
        <f t="shared" si="56"/>
        <v>179</v>
      </c>
      <c r="G90" s="176">
        <v>176</v>
      </c>
      <c r="H90" s="176">
        <v>3</v>
      </c>
      <c r="I90">
        <v>60.92</v>
      </c>
      <c r="J90">
        <f t="shared" si="57"/>
        <v>0.153569399734899</v>
      </c>
      <c r="K90" s="184">
        <f t="shared" si="58"/>
        <v>43</v>
      </c>
    </row>
    <row r="91" spans="1:11">
      <c r="A91" s="175" t="s">
        <v>104</v>
      </c>
      <c r="B91" s="176">
        <v>9</v>
      </c>
      <c r="C91" s="176">
        <f t="shared" si="53"/>
        <v>68.93</v>
      </c>
      <c r="D91" s="176">
        <f t="shared" si="54"/>
        <v>62.04</v>
      </c>
      <c r="E91" s="176">
        <f t="shared" si="55"/>
        <v>6.89000000000001</v>
      </c>
      <c r="F91" s="176">
        <f t="shared" si="56"/>
        <v>227</v>
      </c>
      <c r="G91" s="176">
        <v>181</v>
      </c>
      <c r="H91" s="176">
        <v>46</v>
      </c>
      <c r="I91">
        <v>71.28</v>
      </c>
      <c r="J91">
        <f t="shared" si="57"/>
        <v>0.148936170212766</v>
      </c>
      <c r="K91" s="184">
        <f t="shared" si="58"/>
        <v>50</v>
      </c>
    </row>
    <row r="92" spans="1:11">
      <c r="A92" s="175" t="s">
        <v>105</v>
      </c>
      <c r="B92" s="176">
        <v>8</v>
      </c>
      <c r="C92" s="176">
        <f t="shared" si="53"/>
        <v>270.76</v>
      </c>
      <c r="D92" s="176">
        <f t="shared" si="54"/>
        <v>216.61</v>
      </c>
      <c r="E92" s="176">
        <f t="shared" si="55"/>
        <v>54.15</v>
      </c>
      <c r="F92" s="176">
        <f t="shared" si="56"/>
        <v>1021</v>
      </c>
      <c r="G92" s="176">
        <v>512</v>
      </c>
      <c r="H92" s="176">
        <v>509</v>
      </c>
      <c r="I92">
        <v>260.04</v>
      </c>
      <c r="J92">
        <f t="shared" si="57"/>
        <v>0.20049859193943</v>
      </c>
      <c r="K92" s="184">
        <f t="shared" si="58"/>
        <v>174</v>
      </c>
    </row>
    <row r="93" spans="1:11">
      <c r="A93" s="175" t="s">
        <v>106</v>
      </c>
      <c r="B93" s="176">
        <v>8</v>
      </c>
      <c r="C93" s="176">
        <f t="shared" si="53"/>
        <v>211.61</v>
      </c>
      <c r="D93" s="176">
        <f t="shared" si="54"/>
        <v>169.29</v>
      </c>
      <c r="E93" s="176">
        <f t="shared" si="55"/>
        <v>42.32</v>
      </c>
      <c r="F93" s="176">
        <f t="shared" si="56"/>
        <v>904</v>
      </c>
      <c r="G93" s="176">
        <v>237</v>
      </c>
      <c r="H93" s="176">
        <v>667</v>
      </c>
      <c r="I93">
        <v>203.84</v>
      </c>
      <c r="J93">
        <f t="shared" si="57"/>
        <v>0.204087660228011</v>
      </c>
      <c r="K93" s="184">
        <f t="shared" si="58"/>
        <v>136</v>
      </c>
    </row>
    <row r="94" spans="1:11">
      <c r="A94" s="173" t="s">
        <v>107</v>
      </c>
      <c r="B94" s="174">
        <v>8</v>
      </c>
      <c r="C94" s="174">
        <f t="shared" si="53"/>
        <v>46.12</v>
      </c>
      <c r="D94" s="174">
        <f t="shared" si="54"/>
        <v>36.9</v>
      </c>
      <c r="E94" s="174">
        <f t="shared" si="55"/>
        <v>9.22000000000001</v>
      </c>
      <c r="F94" s="174">
        <f t="shared" si="56"/>
        <v>163</v>
      </c>
      <c r="G94" s="174">
        <v>104</v>
      </c>
      <c r="H94" s="174">
        <v>59</v>
      </c>
      <c r="I94">
        <v>44.96</v>
      </c>
      <c r="J94">
        <f t="shared" si="57"/>
        <v>0.218428184281843</v>
      </c>
      <c r="K94" s="184">
        <f t="shared" si="58"/>
        <v>30</v>
      </c>
    </row>
  </sheetData>
  <mergeCells count="8">
    <mergeCell ref="A1:H1"/>
    <mergeCell ref="E2:H2"/>
    <mergeCell ref="C3:E3"/>
    <mergeCell ref="F3:H3"/>
    <mergeCell ref="A3:A4"/>
    <mergeCell ref="B3:B4"/>
    <mergeCell ref="I3:I4"/>
    <mergeCell ref="K3:K4"/>
  </mergeCells>
  <pageMargins left="0.354166666666667" right="0.275" top="1" bottom="1" header="0.5" footer="0.5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08"/>
  <sheetViews>
    <sheetView workbookViewId="0">
      <selection activeCell="H28" sqref="H28"/>
    </sheetView>
  </sheetViews>
  <sheetFormatPr defaultColWidth="9" defaultRowHeight="15.75"/>
  <cols>
    <col min="1" max="1" width="22.875" style="65" customWidth="1"/>
    <col min="2" max="2" width="22" style="65" customWidth="1"/>
    <col min="3" max="4" width="18.625" style="65" customWidth="1"/>
    <col min="5" max="252" width="9" style="65"/>
    <col min="253" max="16384" width="9" style="1"/>
  </cols>
  <sheetData>
    <row r="1" s="65" customFormat="1" ht="46" customHeight="1" spans="1:4">
      <c r="A1" s="137" t="s">
        <v>128</v>
      </c>
      <c r="B1" s="137"/>
      <c r="C1" s="137"/>
      <c r="D1" s="137"/>
    </row>
    <row r="2" s="65" customFormat="1" ht="14.25" spans="1:4">
      <c r="A2" s="138" t="s">
        <v>129</v>
      </c>
      <c r="B2" s="138"/>
      <c r="C2" s="138"/>
      <c r="D2" s="138"/>
    </row>
    <row r="3" s="65" customFormat="1" spans="1:4">
      <c r="A3" s="139" t="s">
        <v>3</v>
      </c>
      <c r="B3" s="140" t="s">
        <v>130</v>
      </c>
      <c r="C3" s="141" t="s">
        <v>131</v>
      </c>
      <c r="D3" s="142"/>
    </row>
    <row r="4" s="65" customFormat="1" spans="1:4">
      <c r="A4" s="139"/>
      <c r="B4" s="143"/>
      <c r="C4" s="139" t="s">
        <v>132</v>
      </c>
      <c r="D4" s="139" t="s">
        <v>133</v>
      </c>
    </row>
    <row r="5" s="65" customFormat="1" ht="14.25" spans="1:4">
      <c r="A5" s="144" t="s">
        <v>18</v>
      </c>
      <c r="B5" s="145">
        <f>B6+B21+B30+B43+B57+B75+B87+B96+B108</f>
        <v>7389</v>
      </c>
      <c r="C5" s="146">
        <f>C6+C21+C30+C43+C57+C75+C87+C96+C108</f>
        <v>492</v>
      </c>
      <c r="D5" s="145">
        <f>D6+D21+D30+D43+D57+D75+D87+D96+D108</f>
        <v>6897</v>
      </c>
    </row>
    <row r="6" s="65" customFormat="1" ht="14.25" spans="1:4">
      <c r="A6" s="147" t="s">
        <v>19</v>
      </c>
      <c r="B6" s="148">
        <f>SUM(B7:B20)</f>
        <v>1135</v>
      </c>
      <c r="C6" s="148">
        <f>SUM(C7:C20)</f>
        <v>65</v>
      </c>
      <c r="D6" s="148">
        <f>SUM(D7:D20)</f>
        <v>1070</v>
      </c>
    </row>
    <row r="7" s="65" customFormat="1" ht="14.25" spans="1:4">
      <c r="A7" s="149" t="s">
        <v>20</v>
      </c>
      <c r="B7" s="150">
        <f t="shared" ref="B7:B20" si="0">C7+D7</f>
        <v>1135</v>
      </c>
      <c r="C7" s="150">
        <v>65</v>
      </c>
      <c r="D7" s="150">
        <v>1070</v>
      </c>
    </row>
    <row r="8" s="65" customFormat="1" ht="14.25" spans="1:4">
      <c r="A8" s="151" t="s">
        <v>134</v>
      </c>
      <c r="B8" s="152">
        <f t="shared" si="0"/>
        <v>0</v>
      </c>
      <c r="C8" s="152">
        <v>0</v>
      </c>
      <c r="D8" s="152">
        <v>0</v>
      </c>
    </row>
    <row r="9" s="65" customFormat="1" ht="14.25" spans="1:4">
      <c r="A9" s="151" t="s">
        <v>21</v>
      </c>
      <c r="B9" s="152">
        <f t="shared" si="0"/>
        <v>0</v>
      </c>
      <c r="C9" s="152">
        <v>0</v>
      </c>
      <c r="D9" s="152">
        <v>0</v>
      </c>
    </row>
    <row r="10" s="65" customFormat="1" ht="14.25" spans="1:4">
      <c r="A10" s="151" t="s">
        <v>22</v>
      </c>
      <c r="B10" s="152">
        <f t="shared" si="0"/>
        <v>0</v>
      </c>
      <c r="C10" s="152">
        <v>0</v>
      </c>
      <c r="D10" s="152">
        <v>0</v>
      </c>
    </row>
    <row r="11" s="65" customFormat="1" ht="14.25" spans="1:4">
      <c r="A11" s="151" t="s">
        <v>135</v>
      </c>
      <c r="B11" s="152">
        <f t="shared" si="0"/>
        <v>0</v>
      </c>
      <c r="C11" s="152">
        <v>0</v>
      </c>
      <c r="D11" s="152">
        <v>0</v>
      </c>
    </row>
    <row r="12" s="65" customFormat="1" ht="14.25" spans="1:4">
      <c r="A12" s="151" t="s">
        <v>23</v>
      </c>
      <c r="B12" s="152">
        <f t="shared" si="0"/>
        <v>0</v>
      </c>
      <c r="C12" s="152">
        <v>0</v>
      </c>
      <c r="D12" s="152">
        <v>0</v>
      </c>
    </row>
    <row r="13" s="65" customFormat="1" ht="14.25" spans="1:4">
      <c r="A13" s="153" t="s">
        <v>30</v>
      </c>
      <c r="B13" s="152">
        <f t="shared" si="0"/>
        <v>0</v>
      </c>
      <c r="C13" s="152">
        <v>0</v>
      </c>
      <c r="D13" s="152">
        <v>0</v>
      </c>
    </row>
    <row r="14" s="65" customFormat="1" ht="14.25" spans="1:4">
      <c r="A14" s="153" t="s">
        <v>122</v>
      </c>
      <c r="B14" s="152">
        <f t="shared" si="0"/>
        <v>0</v>
      </c>
      <c r="C14" s="152">
        <v>0</v>
      </c>
      <c r="D14" s="152">
        <v>0</v>
      </c>
    </row>
    <row r="15" s="65" customFormat="1" ht="14.25" spans="1:4">
      <c r="A15" s="153" t="s">
        <v>24</v>
      </c>
      <c r="B15" s="152">
        <f t="shared" si="0"/>
        <v>0</v>
      </c>
      <c r="C15" s="152">
        <v>0</v>
      </c>
      <c r="D15" s="152">
        <v>0</v>
      </c>
    </row>
    <row r="16" s="65" customFormat="1" ht="14.25" spans="1:4">
      <c r="A16" s="153" t="s">
        <v>25</v>
      </c>
      <c r="B16" s="152">
        <f t="shared" si="0"/>
        <v>0</v>
      </c>
      <c r="C16" s="152">
        <v>0</v>
      </c>
      <c r="D16" s="152">
        <v>0</v>
      </c>
    </row>
    <row r="17" s="65" customFormat="1" ht="14.25" spans="1:4">
      <c r="A17" s="153" t="s">
        <v>26</v>
      </c>
      <c r="B17" s="152">
        <f t="shared" si="0"/>
        <v>0</v>
      </c>
      <c r="C17" s="152">
        <v>0</v>
      </c>
      <c r="D17" s="152">
        <v>0</v>
      </c>
    </row>
    <row r="18" s="65" customFormat="1" ht="14.25" spans="1:4">
      <c r="A18" s="153" t="s">
        <v>27</v>
      </c>
      <c r="B18" s="152">
        <f t="shared" si="0"/>
        <v>0</v>
      </c>
      <c r="C18" s="152">
        <v>0</v>
      </c>
      <c r="D18" s="152">
        <v>0</v>
      </c>
    </row>
    <row r="19" s="65" customFormat="1" ht="14.25" spans="1:4">
      <c r="A19" s="153" t="s">
        <v>28</v>
      </c>
      <c r="B19" s="152">
        <f t="shared" si="0"/>
        <v>0</v>
      </c>
      <c r="C19" s="152">
        <v>0</v>
      </c>
      <c r="D19" s="152">
        <v>0</v>
      </c>
    </row>
    <row r="20" s="65" customFormat="1" ht="14.25" spans="1:4">
      <c r="A20" s="153" t="s">
        <v>29</v>
      </c>
      <c r="B20" s="152">
        <f t="shared" si="0"/>
        <v>0</v>
      </c>
      <c r="C20" s="152">
        <v>0</v>
      </c>
      <c r="D20" s="152">
        <v>0</v>
      </c>
    </row>
    <row r="21" s="65" customFormat="1" ht="14.25" spans="1:4">
      <c r="A21" s="147" t="s">
        <v>31</v>
      </c>
      <c r="B21" s="148">
        <f>SUM(B22:B29)</f>
        <v>319</v>
      </c>
      <c r="C21" s="148">
        <f>SUM(C22:C29)</f>
        <v>10</v>
      </c>
      <c r="D21" s="148">
        <f>SUM(D22:D29)</f>
        <v>309</v>
      </c>
    </row>
    <row r="22" s="65" customFormat="1" ht="14.25" spans="1:4">
      <c r="A22" s="154" t="s">
        <v>32</v>
      </c>
      <c r="B22" s="155">
        <f t="shared" ref="B22:B29" si="1">C22+D22</f>
        <v>319</v>
      </c>
      <c r="C22" s="150">
        <v>10</v>
      </c>
      <c r="D22" s="155">
        <v>309</v>
      </c>
    </row>
    <row r="23" s="65" customFormat="1" ht="14.25" spans="1:4">
      <c r="A23" s="151" t="s">
        <v>33</v>
      </c>
      <c r="B23" s="152">
        <f t="shared" si="1"/>
        <v>0</v>
      </c>
      <c r="C23" s="152">
        <v>0</v>
      </c>
      <c r="D23" s="152">
        <v>0</v>
      </c>
    </row>
    <row r="24" s="65" customFormat="1" ht="14.25" spans="1:4">
      <c r="A24" s="151" t="s">
        <v>34</v>
      </c>
      <c r="B24" s="152">
        <f t="shared" si="1"/>
        <v>0</v>
      </c>
      <c r="C24" s="152">
        <v>0</v>
      </c>
      <c r="D24" s="152">
        <v>0</v>
      </c>
    </row>
    <row r="25" s="65" customFormat="1" ht="14.25" spans="1:4">
      <c r="A25" s="151" t="s">
        <v>35</v>
      </c>
      <c r="B25" s="152">
        <f t="shared" si="1"/>
        <v>0</v>
      </c>
      <c r="C25" s="152">
        <v>0</v>
      </c>
      <c r="D25" s="152">
        <v>0</v>
      </c>
    </row>
    <row r="26" s="65" customFormat="1" ht="14.25" spans="1:4">
      <c r="A26" s="151" t="s">
        <v>36</v>
      </c>
      <c r="B26" s="152">
        <f t="shared" si="1"/>
        <v>0</v>
      </c>
      <c r="C26" s="152">
        <v>0</v>
      </c>
      <c r="D26" s="152">
        <v>0</v>
      </c>
    </row>
    <row r="27" s="65" customFormat="1" ht="14.25" spans="1:4">
      <c r="A27" s="151" t="s">
        <v>37</v>
      </c>
      <c r="B27" s="152">
        <f t="shared" si="1"/>
        <v>0</v>
      </c>
      <c r="C27" s="152">
        <v>0</v>
      </c>
      <c r="D27" s="152">
        <v>0</v>
      </c>
    </row>
    <row r="28" s="65" customFormat="1" ht="14.25" spans="1:4">
      <c r="A28" s="156" t="s">
        <v>136</v>
      </c>
      <c r="B28" s="152">
        <f t="shared" si="1"/>
        <v>0</v>
      </c>
      <c r="C28" s="152">
        <v>0</v>
      </c>
      <c r="D28" s="152">
        <v>0</v>
      </c>
    </row>
    <row r="29" s="65" customFormat="1" ht="14.25" spans="1:4">
      <c r="A29" s="156" t="s">
        <v>137</v>
      </c>
      <c r="B29" s="152">
        <f t="shared" si="1"/>
        <v>0</v>
      </c>
      <c r="C29" s="152">
        <v>0</v>
      </c>
      <c r="D29" s="152">
        <v>0</v>
      </c>
    </row>
    <row r="30" s="65" customFormat="1" ht="14.25" spans="1:4">
      <c r="A30" s="147" t="s">
        <v>38</v>
      </c>
      <c r="B30" s="148">
        <f>SUM(B31:B42)</f>
        <v>401</v>
      </c>
      <c r="C30" s="148">
        <f>SUM(C31:C42)</f>
        <v>8</v>
      </c>
      <c r="D30" s="148">
        <f>SUM(D31:D42)</f>
        <v>393</v>
      </c>
    </row>
    <row r="31" s="65" customFormat="1" ht="14.25" spans="1:4">
      <c r="A31" s="149" t="s">
        <v>39</v>
      </c>
      <c r="B31" s="150">
        <f t="shared" ref="B31:B42" si="2">C31+D31</f>
        <v>401</v>
      </c>
      <c r="C31" s="150">
        <v>8</v>
      </c>
      <c r="D31" s="150">
        <v>393</v>
      </c>
    </row>
    <row r="32" s="65" customFormat="1" ht="14.25" spans="1:4">
      <c r="A32" s="156" t="s">
        <v>138</v>
      </c>
      <c r="B32" s="152">
        <f t="shared" si="2"/>
        <v>0</v>
      </c>
      <c r="C32" s="152">
        <v>0</v>
      </c>
      <c r="D32" s="152">
        <v>0</v>
      </c>
    </row>
    <row r="33" s="65" customFormat="1" ht="14.25" spans="1:4">
      <c r="A33" s="156" t="s">
        <v>44</v>
      </c>
      <c r="B33" s="152">
        <f t="shared" si="2"/>
        <v>0</v>
      </c>
      <c r="C33" s="152">
        <v>0</v>
      </c>
      <c r="D33" s="152">
        <v>0</v>
      </c>
    </row>
    <row r="34" s="65" customFormat="1" ht="14.25" spans="1:4">
      <c r="A34" s="151" t="s">
        <v>40</v>
      </c>
      <c r="B34" s="152">
        <f t="shared" si="2"/>
        <v>0</v>
      </c>
      <c r="C34" s="152">
        <v>0</v>
      </c>
      <c r="D34" s="152">
        <v>0</v>
      </c>
    </row>
    <row r="35" s="65" customFormat="1" ht="14.25" spans="1:4">
      <c r="A35" s="151" t="s">
        <v>41</v>
      </c>
      <c r="B35" s="152">
        <f t="shared" si="2"/>
        <v>0</v>
      </c>
      <c r="C35" s="152">
        <v>0</v>
      </c>
      <c r="D35" s="152">
        <v>0</v>
      </c>
    </row>
    <row r="36" s="65" customFormat="1" ht="14.25" spans="1:4">
      <c r="A36" s="157" t="s">
        <v>139</v>
      </c>
      <c r="B36" s="152">
        <f t="shared" si="2"/>
        <v>0</v>
      </c>
      <c r="C36" s="152">
        <v>0</v>
      </c>
      <c r="D36" s="152">
        <v>0</v>
      </c>
    </row>
    <row r="37" s="65" customFormat="1" ht="14.25" spans="1:4">
      <c r="A37" s="151" t="s">
        <v>42</v>
      </c>
      <c r="B37" s="152">
        <f t="shared" si="2"/>
        <v>0</v>
      </c>
      <c r="C37" s="152">
        <v>0</v>
      </c>
      <c r="D37" s="152">
        <v>0</v>
      </c>
    </row>
    <row r="38" s="65" customFormat="1" ht="14.25" spans="1:4">
      <c r="A38" s="151" t="s">
        <v>43</v>
      </c>
      <c r="B38" s="152">
        <f t="shared" si="2"/>
        <v>0</v>
      </c>
      <c r="C38" s="152">
        <v>0</v>
      </c>
      <c r="D38" s="152">
        <v>0</v>
      </c>
    </row>
    <row r="39" s="65" customFormat="1" ht="14.25" spans="1:4">
      <c r="A39" s="151" t="s">
        <v>45</v>
      </c>
      <c r="B39" s="152">
        <f t="shared" si="2"/>
        <v>0</v>
      </c>
      <c r="C39" s="152">
        <v>0</v>
      </c>
      <c r="D39" s="152">
        <v>0</v>
      </c>
    </row>
    <row r="40" s="65" customFormat="1" ht="14.25" spans="1:4">
      <c r="A40" s="151" t="s">
        <v>46</v>
      </c>
      <c r="B40" s="152">
        <f t="shared" si="2"/>
        <v>0</v>
      </c>
      <c r="C40" s="152">
        <v>0</v>
      </c>
      <c r="D40" s="152">
        <v>0</v>
      </c>
    </row>
    <row r="41" s="65" customFormat="1" ht="14.25" spans="1:4">
      <c r="A41" s="151" t="s">
        <v>47</v>
      </c>
      <c r="B41" s="152">
        <f t="shared" si="2"/>
        <v>0</v>
      </c>
      <c r="C41" s="152">
        <v>0</v>
      </c>
      <c r="D41" s="152">
        <v>0</v>
      </c>
    </row>
    <row r="42" s="65" customFormat="1" ht="14.25" spans="1:4">
      <c r="A42" s="151" t="s">
        <v>48</v>
      </c>
      <c r="B42" s="152">
        <f t="shared" si="2"/>
        <v>0</v>
      </c>
      <c r="C42" s="152">
        <v>0</v>
      </c>
      <c r="D42" s="152">
        <v>0</v>
      </c>
    </row>
    <row r="43" s="65" customFormat="1" ht="14.25" spans="1:4">
      <c r="A43" s="147" t="s">
        <v>49</v>
      </c>
      <c r="B43" s="148">
        <f>SUM(B44:B56)</f>
        <v>939</v>
      </c>
      <c r="C43" s="148">
        <f>SUM(C44:C56)</f>
        <v>72</v>
      </c>
      <c r="D43" s="148">
        <f>SUM(D44:D56)</f>
        <v>867</v>
      </c>
    </row>
    <row r="44" s="65" customFormat="1" ht="14.25" spans="1:4">
      <c r="A44" s="149" t="s">
        <v>140</v>
      </c>
      <c r="B44" s="150">
        <f t="shared" ref="B44:B56" si="3">C44+D44</f>
        <v>522</v>
      </c>
      <c r="C44" s="150">
        <v>41</v>
      </c>
      <c r="D44" s="150">
        <v>481</v>
      </c>
    </row>
    <row r="45" s="65" customFormat="1" ht="14.25" spans="1:4">
      <c r="A45" s="151" t="s">
        <v>51</v>
      </c>
      <c r="B45" s="152">
        <f t="shared" si="3"/>
        <v>0</v>
      </c>
      <c r="C45" s="152">
        <v>0</v>
      </c>
      <c r="D45" s="152">
        <v>0</v>
      </c>
    </row>
    <row r="46" s="65" customFormat="1" ht="14.25" spans="1:4">
      <c r="A46" s="151" t="s">
        <v>52</v>
      </c>
      <c r="B46" s="152">
        <f t="shared" si="3"/>
        <v>0</v>
      </c>
      <c r="C46" s="152">
        <v>0</v>
      </c>
      <c r="D46" s="152">
        <v>0</v>
      </c>
    </row>
    <row r="47" s="65" customFormat="1" ht="14.25" spans="1:4">
      <c r="A47" s="151" t="s">
        <v>141</v>
      </c>
      <c r="B47" s="152">
        <f t="shared" si="3"/>
        <v>0</v>
      </c>
      <c r="C47" s="152">
        <v>0</v>
      </c>
      <c r="D47" s="152">
        <v>0</v>
      </c>
    </row>
    <row r="48" s="65" customFormat="1" ht="14.25" spans="1:4">
      <c r="A48" s="151" t="s">
        <v>53</v>
      </c>
      <c r="B48" s="152">
        <f t="shared" si="3"/>
        <v>0</v>
      </c>
      <c r="C48" s="152">
        <v>0</v>
      </c>
      <c r="D48" s="152">
        <v>0</v>
      </c>
    </row>
    <row r="49" s="65" customFormat="1" ht="14.25" spans="1:4">
      <c r="A49" s="151" t="s">
        <v>54</v>
      </c>
      <c r="B49" s="152">
        <f t="shared" si="3"/>
        <v>417</v>
      </c>
      <c r="C49" s="152">
        <v>31</v>
      </c>
      <c r="D49" s="152">
        <v>386</v>
      </c>
    </row>
    <row r="50" s="65" customFormat="1" ht="14.25" spans="1:4">
      <c r="A50" s="151" t="s">
        <v>55</v>
      </c>
      <c r="B50" s="152">
        <f t="shared" si="3"/>
        <v>0</v>
      </c>
      <c r="C50" s="152">
        <v>0</v>
      </c>
      <c r="D50" s="152">
        <v>0</v>
      </c>
    </row>
    <row r="51" s="65" customFormat="1" ht="14.25" spans="1:4">
      <c r="A51" s="151" t="s">
        <v>56</v>
      </c>
      <c r="B51" s="152">
        <f t="shared" si="3"/>
        <v>0</v>
      </c>
      <c r="C51" s="152">
        <v>0</v>
      </c>
      <c r="D51" s="152">
        <v>0</v>
      </c>
    </row>
    <row r="52" s="65" customFormat="1" ht="14.25" spans="1:4">
      <c r="A52" s="151" t="s">
        <v>57</v>
      </c>
      <c r="B52" s="152">
        <f t="shared" si="3"/>
        <v>0</v>
      </c>
      <c r="C52" s="152">
        <v>0</v>
      </c>
      <c r="D52" s="152">
        <v>0</v>
      </c>
    </row>
    <row r="53" s="65" customFormat="1" ht="14.25" spans="1:4">
      <c r="A53" s="151" t="s">
        <v>58</v>
      </c>
      <c r="B53" s="152">
        <f t="shared" si="3"/>
        <v>0</v>
      </c>
      <c r="C53" s="152">
        <v>0</v>
      </c>
      <c r="D53" s="152">
        <v>0</v>
      </c>
    </row>
    <row r="54" s="65" customFormat="1" ht="14.25" spans="1:4">
      <c r="A54" s="151" t="s">
        <v>59</v>
      </c>
      <c r="B54" s="152">
        <f t="shared" si="3"/>
        <v>0</v>
      </c>
      <c r="C54" s="152">
        <v>0</v>
      </c>
      <c r="D54" s="152">
        <v>0</v>
      </c>
    </row>
    <row r="55" s="65" customFormat="1" ht="14.25" spans="1:4">
      <c r="A55" s="151" t="s">
        <v>60</v>
      </c>
      <c r="B55" s="152">
        <f t="shared" si="3"/>
        <v>0</v>
      </c>
      <c r="C55" s="152">
        <v>0</v>
      </c>
      <c r="D55" s="152">
        <v>0</v>
      </c>
    </row>
    <row r="56" s="65" customFormat="1" ht="14.25" spans="1:4">
      <c r="A56" s="151" t="s">
        <v>61</v>
      </c>
      <c r="B56" s="152">
        <f t="shared" si="3"/>
        <v>0</v>
      </c>
      <c r="C56" s="152">
        <v>0</v>
      </c>
      <c r="D56" s="152">
        <v>0</v>
      </c>
    </row>
    <row r="57" s="65" customFormat="1" ht="14.25" spans="1:4">
      <c r="A57" s="158" t="s">
        <v>62</v>
      </c>
      <c r="B57" s="148">
        <f>SUM(B58:B74)</f>
        <v>1157</v>
      </c>
      <c r="C57" s="148">
        <f>SUM(C58:C74)</f>
        <v>112</v>
      </c>
      <c r="D57" s="148">
        <f>SUM(D58:D74)</f>
        <v>1045</v>
      </c>
    </row>
    <row r="58" s="65" customFormat="1" ht="14.25" spans="1:4">
      <c r="A58" s="149" t="s">
        <v>63</v>
      </c>
      <c r="B58" s="150">
        <f t="shared" ref="B58:B74" si="4">C58+D58</f>
        <v>473</v>
      </c>
      <c r="C58" s="150">
        <v>35</v>
      </c>
      <c r="D58" s="150">
        <v>438</v>
      </c>
    </row>
    <row r="59" s="65" customFormat="1" ht="14.25" spans="1:4">
      <c r="A59" s="151" t="s">
        <v>64</v>
      </c>
      <c r="B59" s="152">
        <f t="shared" si="4"/>
        <v>0</v>
      </c>
      <c r="C59" s="152">
        <v>0</v>
      </c>
      <c r="D59" s="152">
        <v>0</v>
      </c>
    </row>
    <row r="60" s="65" customFormat="1" ht="14.25" spans="1:4">
      <c r="A60" s="159" t="s">
        <v>142</v>
      </c>
      <c r="B60" s="152">
        <f t="shared" si="4"/>
        <v>0</v>
      </c>
      <c r="C60" s="152">
        <v>0</v>
      </c>
      <c r="D60" s="152">
        <v>0</v>
      </c>
    </row>
    <row r="61" s="65" customFormat="1" ht="14.25" spans="1:4">
      <c r="A61" s="160" t="s">
        <v>73</v>
      </c>
      <c r="B61" s="152">
        <f t="shared" si="4"/>
        <v>0</v>
      </c>
      <c r="C61" s="152">
        <v>0</v>
      </c>
      <c r="D61" s="152">
        <v>0</v>
      </c>
    </row>
    <row r="62" s="65" customFormat="1" ht="14.25" spans="1:4">
      <c r="A62" s="153" t="s">
        <v>65</v>
      </c>
      <c r="B62" s="152">
        <f t="shared" si="4"/>
        <v>0</v>
      </c>
      <c r="C62" s="152">
        <v>0</v>
      </c>
      <c r="D62" s="152">
        <v>0</v>
      </c>
    </row>
    <row r="63" s="65" customFormat="1" ht="14.25" spans="1:4">
      <c r="A63" s="153" t="s">
        <v>66</v>
      </c>
      <c r="B63" s="152">
        <f t="shared" si="4"/>
        <v>0</v>
      </c>
      <c r="C63" s="152">
        <v>0</v>
      </c>
      <c r="D63" s="152">
        <v>0</v>
      </c>
    </row>
    <row r="64" s="65" customFormat="1" ht="14.25" spans="1:4">
      <c r="A64" s="153" t="s">
        <v>67</v>
      </c>
      <c r="B64" s="152">
        <f t="shared" si="4"/>
        <v>0</v>
      </c>
      <c r="C64" s="152">
        <v>0</v>
      </c>
      <c r="D64" s="152">
        <v>0</v>
      </c>
    </row>
    <row r="65" s="65" customFormat="1" ht="14.25" spans="1:4">
      <c r="A65" s="153" t="s">
        <v>68</v>
      </c>
      <c r="B65" s="152">
        <f t="shared" si="4"/>
        <v>0</v>
      </c>
      <c r="C65" s="152">
        <v>0</v>
      </c>
      <c r="D65" s="152">
        <v>0</v>
      </c>
    </row>
    <row r="66" s="65" customFormat="1" ht="14.25" spans="1:4">
      <c r="A66" s="153" t="s">
        <v>69</v>
      </c>
      <c r="B66" s="152">
        <f t="shared" si="4"/>
        <v>0</v>
      </c>
      <c r="C66" s="152">
        <v>0</v>
      </c>
      <c r="D66" s="152">
        <v>0</v>
      </c>
    </row>
    <row r="67" s="65" customFormat="1" ht="14.25" spans="1:4">
      <c r="A67" s="153" t="s">
        <v>71</v>
      </c>
      <c r="B67" s="152">
        <f t="shared" si="4"/>
        <v>34</v>
      </c>
      <c r="C67" s="152">
        <v>3</v>
      </c>
      <c r="D67" s="152">
        <v>31</v>
      </c>
    </row>
    <row r="68" s="65" customFormat="1" ht="14.25" spans="1:4">
      <c r="A68" s="153" t="s">
        <v>70</v>
      </c>
      <c r="B68" s="152">
        <f t="shared" si="4"/>
        <v>0</v>
      </c>
      <c r="C68" s="152">
        <v>0</v>
      </c>
      <c r="D68" s="152">
        <v>0</v>
      </c>
    </row>
    <row r="69" s="65" customFormat="1" ht="14.25" spans="1:4">
      <c r="A69" s="153" t="s">
        <v>72</v>
      </c>
      <c r="B69" s="152">
        <f t="shared" si="4"/>
        <v>0</v>
      </c>
      <c r="C69" s="152">
        <v>0</v>
      </c>
      <c r="D69" s="152">
        <v>0</v>
      </c>
    </row>
    <row r="70" s="65" customFormat="1" ht="14.25" spans="1:4">
      <c r="A70" s="153" t="s">
        <v>143</v>
      </c>
      <c r="B70" s="152">
        <f t="shared" si="4"/>
        <v>0</v>
      </c>
      <c r="C70" s="152">
        <v>0</v>
      </c>
      <c r="D70" s="152">
        <v>0</v>
      </c>
    </row>
    <row r="71" s="65" customFormat="1" ht="14.25" spans="1:4">
      <c r="A71" s="153" t="s">
        <v>144</v>
      </c>
      <c r="B71" s="152">
        <f t="shared" si="4"/>
        <v>11</v>
      </c>
      <c r="C71" s="152">
        <v>11</v>
      </c>
      <c r="D71" s="152">
        <v>0</v>
      </c>
    </row>
    <row r="72" s="65" customFormat="1" ht="14.25" spans="1:4">
      <c r="A72" s="153" t="s">
        <v>145</v>
      </c>
      <c r="B72" s="152">
        <f t="shared" si="4"/>
        <v>0</v>
      </c>
      <c r="C72" s="152">
        <v>0</v>
      </c>
      <c r="D72" s="152">
        <v>0</v>
      </c>
    </row>
    <row r="73" s="65" customFormat="1" ht="14.25" spans="1:4">
      <c r="A73" s="153" t="s">
        <v>146</v>
      </c>
      <c r="B73" s="152">
        <f t="shared" si="4"/>
        <v>0</v>
      </c>
      <c r="C73" s="152">
        <v>0</v>
      </c>
      <c r="D73" s="152">
        <v>0</v>
      </c>
    </row>
    <row r="74" s="65" customFormat="1" ht="14.25" spans="1:4">
      <c r="A74" s="153" t="s">
        <v>147</v>
      </c>
      <c r="B74" s="152">
        <f t="shared" si="4"/>
        <v>639</v>
      </c>
      <c r="C74" s="152">
        <v>63</v>
      </c>
      <c r="D74" s="152">
        <v>576</v>
      </c>
    </row>
    <row r="75" s="65" customFormat="1" ht="14.25" spans="1:4">
      <c r="A75" s="147" t="s">
        <v>76</v>
      </c>
      <c r="B75" s="148">
        <f>SUM(B76:B86)</f>
        <v>1152</v>
      </c>
      <c r="C75" s="148">
        <f>SUM(C76:C86)</f>
        <v>13</v>
      </c>
      <c r="D75" s="148">
        <f>SUM(D76:D86)</f>
        <v>1139</v>
      </c>
    </row>
    <row r="76" s="65" customFormat="1" ht="14.25" spans="1:4">
      <c r="A76" s="149" t="s">
        <v>77</v>
      </c>
      <c r="B76" s="150">
        <f t="shared" ref="B76:B95" si="5">C76+D76</f>
        <v>934</v>
      </c>
      <c r="C76" s="150">
        <v>13</v>
      </c>
      <c r="D76" s="150">
        <v>921</v>
      </c>
    </row>
    <row r="77" s="65" customFormat="1" ht="14.25" spans="1:4">
      <c r="A77" s="151" t="s">
        <v>78</v>
      </c>
      <c r="B77" s="152">
        <f t="shared" si="5"/>
        <v>0</v>
      </c>
      <c r="C77" s="152">
        <v>0</v>
      </c>
      <c r="D77" s="152">
        <v>0</v>
      </c>
    </row>
    <row r="78" s="65" customFormat="1" ht="14.25" spans="1:4">
      <c r="A78" s="159" t="s">
        <v>148</v>
      </c>
      <c r="B78" s="152">
        <f t="shared" si="5"/>
        <v>0</v>
      </c>
      <c r="C78" s="152">
        <v>0</v>
      </c>
      <c r="D78" s="152">
        <v>0</v>
      </c>
    </row>
    <row r="79" s="65" customFormat="1" ht="14.25" spans="1:4">
      <c r="A79" s="151" t="s">
        <v>84</v>
      </c>
      <c r="B79" s="152">
        <f t="shared" si="5"/>
        <v>0</v>
      </c>
      <c r="C79" s="152">
        <v>0</v>
      </c>
      <c r="D79" s="152">
        <v>0</v>
      </c>
    </row>
    <row r="80" s="65" customFormat="1" ht="14.25" spans="1:4">
      <c r="A80" s="151" t="s">
        <v>85</v>
      </c>
      <c r="B80" s="152">
        <f t="shared" si="5"/>
        <v>0</v>
      </c>
      <c r="C80" s="152">
        <v>0</v>
      </c>
      <c r="D80" s="152">
        <v>0</v>
      </c>
    </row>
    <row r="81" s="65" customFormat="1" ht="14.25" spans="1:4">
      <c r="A81" s="151" t="s">
        <v>86</v>
      </c>
      <c r="B81" s="152">
        <f t="shared" si="5"/>
        <v>218</v>
      </c>
      <c r="C81" s="152">
        <v>0</v>
      </c>
      <c r="D81" s="152">
        <v>218</v>
      </c>
    </row>
    <row r="82" s="65" customFormat="1" ht="14.25" spans="1:4">
      <c r="A82" s="151" t="s">
        <v>79</v>
      </c>
      <c r="B82" s="152">
        <f t="shared" si="5"/>
        <v>0</v>
      </c>
      <c r="C82" s="152">
        <v>0</v>
      </c>
      <c r="D82" s="152">
        <v>0</v>
      </c>
    </row>
    <row r="83" s="65" customFormat="1" ht="14.25" spans="1:4">
      <c r="A83" s="151" t="s">
        <v>80</v>
      </c>
      <c r="B83" s="152">
        <f t="shared" si="5"/>
        <v>0</v>
      </c>
      <c r="C83" s="152">
        <v>0</v>
      </c>
      <c r="D83" s="152">
        <v>0</v>
      </c>
    </row>
    <row r="84" s="65" customFormat="1" ht="14.25" spans="1:4">
      <c r="A84" s="151" t="s">
        <v>81</v>
      </c>
      <c r="B84" s="152">
        <f t="shared" si="5"/>
        <v>0</v>
      </c>
      <c r="C84" s="152">
        <v>0</v>
      </c>
      <c r="D84" s="152">
        <v>0</v>
      </c>
    </row>
    <row r="85" s="65" customFormat="1" ht="14.25" spans="1:4">
      <c r="A85" s="151" t="s">
        <v>82</v>
      </c>
      <c r="B85" s="152">
        <f t="shared" si="5"/>
        <v>0</v>
      </c>
      <c r="C85" s="152">
        <v>0</v>
      </c>
      <c r="D85" s="152">
        <v>0</v>
      </c>
    </row>
    <row r="86" s="65" customFormat="1" ht="14.25" spans="1:4">
      <c r="A86" s="151" t="s">
        <v>83</v>
      </c>
      <c r="B86" s="152">
        <f t="shared" si="5"/>
        <v>0</v>
      </c>
      <c r="C86" s="152">
        <v>0</v>
      </c>
      <c r="D86" s="152">
        <v>0</v>
      </c>
    </row>
    <row r="87" s="65" customFormat="1" ht="14.25" spans="1:4">
      <c r="A87" s="147" t="s">
        <v>87</v>
      </c>
      <c r="B87" s="148">
        <f t="shared" si="5"/>
        <v>1933</v>
      </c>
      <c r="C87" s="148">
        <f>SUM(C88:C95)</f>
        <v>170</v>
      </c>
      <c r="D87" s="148">
        <f>SUM(D88:D95)</f>
        <v>1763</v>
      </c>
    </row>
    <row r="88" s="65" customFormat="1" ht="14.25" spans="1:4">
      <c r="A88" s="149" t="s">
        <v>88</v>
      </c>
      <c r="B88" s="150">
        <f t="shared" si="5"/>
        <v>1933</v>
      </c>
      <c r="C88" s="150">
        <v>170</v>
      </c>
      <c r="D88" s="150">
        <v>1763</v>
      </c>
    </row>
    <row r="89" s="65" customFormat="1" ht="14.25" spans="1:4">
      <c r="A89" s="151" t="s">
        <v>89</v>
      </c>
      <c r="B89" s="152">
        <f t="shared" si="5"/>
        <v>0</v>
      </c>
      <c r="C89" s="152">
        <v>0</v>
      </c>
      <c r="D89" s="152">
        <v>0</v>
      </c>
    </row>
    <row r="90" s="65" customFormat="1" ht="14.25" spans="1:4">
      <c r="A90" s="153" t="s">
        <v>91</v>
      </c>
      <c r="B90" s="152">
        <f t="shared" si="5"/>
        <v>0</v>
      </c>
      <c r="C90" s="152">
        <v>0</v>
      </c>
      <c r="D90" s="152">
        <v>0</v>
      </c>
    </row>
    <row r="91" s="65" customFormat="1" ht="14.25" spans="1:4">
      <c r="A91" s="153" t="s">
        <v>90</v>
      </c>
      <c r="B91" s="152">
        <f t="shared" si="5"/>
        <v>0</v>
      </c>
      <c r="C91" s="152">
        <v>0</v>
      </c>
      <c r="D91" s="152">
        <v>0</v>
      </c>
    </row>
    <row r="92" s="65" customFormat="1" ht="14.25" spans="1:4">
      <c r="A92" s="151" t="s">
        <v>92</v>
      </c>
      <c r="B92" s="152">
        <f t="shared" si="5"/>
        <v>0</v>
      </c>
      <c r="C92" s="152">
        <v>0</v>
      </c>
      <c r="D92" s="152">
        <v>0</v>
      </c>
    </row>
    <row r="93" s="65" customFormat="1" ht="14.25" spans="1:4">
      <c r="A93" s="151" t="s">
        <v>93</v>
      </c>
      <c r="B93" s="152">
        <f t="shared" si="5"/>
        <v>0</v>
      </c>
      <c r="C93" s="152">
        <v>0</v>
      </c>
      <c r="D93" s="152">
        <v>0</v>
      </c>
    </row>
    <row r="94" s="65" customFormat="1" ht="14.25" spans="1:4">
      <c r="A94" s="151" t="s">
        <v>94</v>
      </c>
      <c r="B94" s="152">
        <f t="shared" si="5"/>
        <v>0</v>
      </c>
      <c r="C94" s="152">
        <v>0</v>
      </c>
      <c r="D94" s="152">
        <v>0</v>
      </c>
    </row>
    <row r="95" s="65" customFormat="1" ht="14.25" spans="1:4">
      <c r="A95" s="151" t="s">
        <v>95</v>
      </c>
      <c r="B95" s="152">
        <f t="shared" si="5"/>
        <v>0</v>
      </c>
      <c r="C95" s="152">
        <v>0</v>
      </c>
      <c r="D95" s="152">
        <v>0</v>
      </c>
    </row>
    <row r="96" s="1" customFormat="1" spans="1:252">
      <c r="A96" s="147" t="s">
        <v>96</v>
      </c>
      <c r="B96" s="148">
        <f>SUM(B97:B107)</f>
        <v>353</v>
      </c>
      <c r="C96" s="148">
        <f>SUM(C97:C107)</f>
        <v>42</v>
      </c>
      <c r="D96" s="148">
        <f>SUM(D97:D107)</f>
        <v>311</v>
      </c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65"/>
      <c r="IC96" s="65"/>
      <c r="ID96" s="65"/>
      <c r="IE96" s="65"/>
      <c r="IF96" s="65"/>
      <c r="IG96" s="65"/>
      <c r="IH96" s="65"/>
      <c r="II96" s="65"/>
      <c r="IJ96" s="65"/>
      <c r="IK96" s="65"/>
      <c r="IL96" s="65"/>
      <c r="IM96" s="65"/>
      <c r="IN96" s="65"/>
      <c r="IO96" s="65"/>
      <c r="IP96" s="65"/>
      <c r="IQ96" s="65"/>
      <c r="IR96" s="65"/>
    </row>
    <row r="97" s="1" customFormat="1" spans="1:252">
      <c r="A97" s="149" t="s">
        <v>97</v>
      </c>
      <c r="B97" s="150">
        <f t="shared" ref="B97:B103" si="6">C97+D97</f>
        <v>309</v>
      </c>
      <c r="C97" s="150">
        <v>39</v>
      </c>
      <c r="D97" s="150">
        <v>270</v>
      </c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65"/>
      <c r="IC97" s="65"/>
      <c r="ID97" s="65"/>
      <c r="IE97" s="65"/>
      <c r="IF97" s="65"/>
      <c r="IG97" s="65"/>
      <c r="IH97" s="65"/>
      <c r="II97" s="65"/>
      <c r="IJ97" s="65"/>
      <c r="IK97" s="65"/>
      <c r="IL97" s="65"/>
      <c r="IM97" s="65"/>
      <c r="IN97" s="65"/>
      <c r="IO97" s="65"/>
      <c r="IP97" s="65"/>
      <c r="IQ97" s="65"/>
      <c r="IR97" s="65"/>
    </row>
    <row r="98" s="1" customFormat="1" spans="1:252">
      <c r="A98" s="151" t="s">
        <v>98</v>
      </c>
      <c r="B98" s="152">
        <f t="shared" si="6"/>
        <v>0</v>
      </c>
      <c r="C98" s="152">
        <v>0</v>
      </c>
      <c r="D98" s="152">
        <v>0</v>
      </c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65"/>
      <c r="IC98" s="65"/>
      <c r="ID98" s="65"/>
      <c r="IE98" s="65"/>
      <c r="IF98" s="65"/>
      <c r="IG98" s="65"/>
      <c r="IH98" s="65"/>
      <c r="II98" s="65"/>
      <c r="IJ98" s="65"/>
      <c r="IK98" s="65"/>
      <c r="IL98" s="65"/>
      <c r="IM98" s="65"/>
      <c r="IN98" s="65"/>
      <c r="IO98" s="65"/>
      <c r="IP98" s="65"/>
      <c r="IQ98" s="65"/>
      <c r="IR98" s="65"/>
    </row>
    <row r="99" s="1" customFormat="1" spans="1:252">
      <c r="A99" s="151" t="s">
        <v>149</v>
      </c>
      <c r="B99" s="152">
        <f t="shared" si="6"/>
        <v>0</v>
      </c>
      <c r="C99" s="152">
        <v>0</v>
      </c>
      <c r="D99" s="152">
        <v>0</v>
      </c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65"/>
      <c r="IC99" s="65"/>
      <c r="ID99" s="65"/>
      <c r="IE99" s="65"/>
      <c r="IF99" s="65"/>
      <c r="IG99" s="65"/>
      <c r="IH99" s="65"/>
      <c r="II99" s="65"/>
      <c r="IJ99" s="65"/>
      <c r="IK99" s="65"/>
      <c r="IL99" s="65"/>
      <c r="IM99" s="65"/>
      <c r="IN99" s="65"/>
      <c r="IO99" s="65"/>
      <c r="IP99" s="65"/>
      <c r="IQ99" s="65"/>
      <c r="IR99" s="65"/>
    </row>
    <row r="100" s="1" customFormat="1" spans="1:252">
      <c r="A100" s="153" t="s">
        <v>105</v>
      </c>
      <c r="B100" s="152">
        <f t="shared" si="6"/>
        <v>0</v>
      </c>
      <c r="C100" s="152">
        <v>0</v>
      </c>
      <c r="D100" s="152">
        <v>0</v>
      </c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65"/>
      <c r="IC100" s="65"/>
      <c r="ID100" s="65"/>
      <c r="IE100" s="65"/>
      <c r="IF100" s="65"/>
      <c r="IG100" s="65"/>
      <c r="IH100" s="65"/>
      <c r="II100" s="65"/>
      <c r="IJ100" s="65"/>
      <c r="IK100" s="65"/>
      <c r="IL100" s="65"/>
      <c r="IM100" s="65"/>
      <c r="IN100" s="65"/>
      <c r="IO100" s="65"/>
      <c r="IP100" s="65"/>
      <c r="IQ100" s="65"/>
      <c r="IR100" s="65"/>
    </row>
    <row r="101" s="1" customFormat="1" spans="1:252">
      <c r="A101" s="153" t="s">
        <v>106</v>
      </c>
      <c r="B101" s="152">
        <f t="shared" si="6"/>
        <v>0</v>
      </c>
      <c r="C101" s="152">
        <v>0</v>
      </c>
      <c r="D101" s="152">
        <v>0</v>
      </c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65"/>
      <c r="IC101" s="65"/>
      <c r="ID101" s="65"/>
      <c r="IE101" s="65"/>
      <c r="IF101" s="65"/>
      <c r="IG101" s="65"/>
      <c r="IH101" s="65"/>
      <c r="II101" s="65"/>
      <c r="IJ101" s="65"/>
      <c r="IK101" s="65"/>
      <c r="IL101" s="65"/>
      <c r="IM101" s="65"/>
      <c r="IN101" s="65"/>
      <c r="IO101" s="65"/>
      <c r="IP101" s="65"/>
      <c r="IQ101" s="65"/>
      <c r="IR101" s="65"/>
    </row>
    <row r="102" s="1" customFormat="1" spans="1:252">
      <c r="A102" s="151" t="s">
        <v>99</v>
      </c>
      <c r="B102" s="152">
        <f t="shared" si="6"/>
        <v>0</v>
      </c>
      <c r="C102" s="152">
        <v>0</v>
      </c>
      <c r="D102" s="152">
        <v>0</v>
      </c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65"/>
      <c r="IC102" s="65"/>
      <c r="ID102" s="65"/>
      <c r="IE102" s="65"/>
      <c r="IF102" s="65"/>
      <c r="IG102" s="65"/>
      <c r="IH102" s="65"/>
      <c r="II102" s="65"/>
      <c r="IJ102" s="65"/>
      <c r="IK102" s="65"/>
      <c r="IL102" s="65"/>
      <c r="IM102" s="65"/>
      <c r="IN102" s="65"/>
      <c r="IO102" s="65"/>
      <c r="IP102" s="65"/>
      <c r="IQ102" s="65"/>
      <c r="IR102" s="65"/>
    </row>
    <row r="103" s="1" customFormat="1" spans="1:252">
      <c r="A103" s="151" t="s">
        <v>100</v>
      </c>
      <c r="B103" s="152">
        <f t="shared" si="6"/>
        <v>44</v>
      </c>
      <c r="C103" s="152">
        <v>3</v>
      </c>
      <c r="D103" s="152">
        <v>41</v>
      </c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65"/>
      <c r="IC103" s="65"/>
      <c r="ID103" s="65"/>
      <c r="IE103" s="65"/>
      <c r="IF103" s="65"/>
      <c r="IG103" s="65"/>
      <c r="IH103" s="65"/>
      <c r="II103" s="65"/>
      <c r="IJ103" s="65"/>
      <c r="IK103" s="65"/>
      <c r="IL103" s="65"/>
      <c r="IM103" s="65"/>
      <c r="IN103" s="65"/>
      <c r="IO103" s="65"/>
      <c r="IP103" s="65"/>
      <c r="IQ103" s="65"/>
      <c r="IR103" s="65"/>
    </row>
    <row r="104" s="1" customFormat="1" spans="1:252">
      <c r="A104" s="151" t="s">
        <v>101</v>
      </c>
      <c r="B104" s="152">
        <v>0</v>
      </c>
      <c r="C104" s="152">
        <v>0</v>
      </c>
      <c r="D104" s="152">
        <v>0</v>
      </c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  <c r="FF104" s="65"/>
      <c r="FG104" s="65"/>
      <c r="FH104" s="65"/>
      <c r="FI104" s="65"/>
      <c r="FJ104" s="65"/>
      <c r="FK104" s="65"/>
      <c r="FL104" s="65"/>
      <c r="FM104" s="65"/>
      <c r="FN104" s="65"/>
      <c r="FO104" s="65"/>
      <c r="FP104" s="65"/>
      <c r="FQ104" s="65"/>
      <c r="FR104" s="65"/>
      <c r="FS104" s="65"/>
      <c r="FT104" s="65"/>
      <c r="FU104" s="65"/>
      <c r="FV104" s="65"/>
      <c r="FW104" s="65"/>
      <c r="FX104" s="65"/>
      <c r="FY104" s="65"/>
      <c r="FZ104" s="65"/>
      <c r="GA104" s="65"/>
      <c r="GB104" s="65"/>
      <c r="GC104" s="65"/>
      <c r="GD104" s="65"/>
      <c r="GE104" s="65"/>
      <c r="GF104" s="65"/>
      <c r="GG104" s="65"/>
      <c r="GH104" s="65"/>
      <c r="GI104" s="65"/>
      <c r="GJ104" s="65"/>
      <c r="GK104" s="65"/>
      <c r="GL104" s="65"/>
      <c r="GM104" s="65"/>
      <c r="GN104" s="65"/>
      <c r="GO104" s="65"/>
      <c r="GP104" s="65"/>
      <c r="GQ104" s="65"/>
      <c r="GR104" s="65"/>
      <c r="GS104" s="65"/>
      <c r="GT104" s="65"/>
      <c r="GU104" s="65"/>
      <c r="GV104" s="65"/>
      <c r="GW104" s="65"/>
      <c r="GX104" s="65"/>
      <c r="GY104" s="65"/>
      <c r="GZ104" s="65"/>
      <c r="HA104" s="65"/>
      <c r="HB104" s="65"/>
      <c r="HC104" s="65"/>
      <c r="HD104" s="65"/>
      <c r="HE104" s="65"/>
      <c r="HF104" s="65"/>
      <c r="HG104" s="65"/>
      <c r="HH104" s="65"/>
      <c r="HI104" s="65"/>
      <c r="HJ104" s="65"/>
      <c r="HK104" s="65"/>
      <c r="HL104" s="65"/>
      <c r="HM104" s="65"/>
      <c r="HN104" s="65"/>
      <c r="HO104" s="65"/>
      <c r="HP104" s="65"/>
      <c r="HQ104" s="65"/>
      <c r="HR104" s="65"/>
      <c r="HS104" s="65"/>
      <c r="HT104" s="65"/>
      <c r="HU104" s="65"/>
      <c r="HV104" s="65"/>
      <c r="HW104" s="65"/>
      <c r="HX104" s="65"/>
      <c r="HY104" s="65"/>
      <c r="HZ104" s="65"/>
      <c r="IA104" s="65"/>
      <c r="IB104" s="65"/>
      <c r="IC104" s="65"/>
      <c r="ID104" s="65"/>
      <c r="IE104" s="65"/>
      <c r="IF104" s="65"/>
      <c r="IG104" s="65"/>
      <c r="IH104" s="65"/>
      <c r="II104" s="65"/>
      <c r="IJ104" s="65"/>
      <c r="IK104" s="65"/>
      <c r="IL104" s="65"/>
      <c r="IM104" s="65"/>
      <c r="IN104" s="65"/>
      <c r="IO104" s="65"/>
      <c r="IP104" s="65"/>
      <c r="IQ104" s="65"/>
      <c r="IR104" s="65"/>
    </row>
    <row r="105" s="1" customFormat="1" spans="1:252">
      <c r="A105" s="151" t="s">
        <v>102</v>
      </c>
      <c r="B105" s="152">
        <v>0</v>
      </c>
      <c r="C105" s="152">
        <v>0</v>
      </c>
      <c r="D105" s="152">
        <v>0</v>
      </c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  <c r="EO105" s="65"/>
      <c r="EP105" s="65"/>
      <c r="EQ105" s="65"/>
      <c r="ER105" s="65"/>
      <c r="ES105" s="65"/>
      <c r="ET105" s="65"/>
      <c r="EU105" s="65"/>
      <c r="EV105" s="65"/>
      <c r="EW105" s="65"/>
      <c r="EX105" s="65"/>
      <c r="EY105" s="65"/>
      <c r="EZ105" s="65"/>
      <c r="FA105" s="65"/>
      <c r="FB105" s="65"/>
      <c r="FC105" s="65"/>
      <c r="FD105" s="65"/>
      <c r="FE105" s="65"/>
      <c r="FF105" s="65"/>
      <c r="FG105" s="65"/>
      <c r="FH105" s="65"/>
      <c r="FI105" s="65"/>
      <c r="FJ105" s="65"/>
      <c r="FK105" s="65"/>
      <c r="FL105" s="65"/>
      <c r="FM105" s="65"/>
      <c r="FN105" s="65"/>
      <c r="FO105" s="65"/>
      <c r="FP105" s="65"/>
      <c r="FQ105" s="65"/>
      <c r="FR105" s="65"/>
      <c r="FS105" s="65"/>
      <c r="FT105" s="65"/>
      <c r="FU105" s="65"/>
      <c r="FV105" s="65"/>
      <c r="FW105" s="65"/>
      <c r="FX105" s="65"/>
      <c r="FY105" s="65"/>
      <c r="FZ105" s="65"/>
      <c r="GA105" s="65"/>
      <c r="GB105" s="65"/>
      <c r="GC105" s="65"/>
      <c r="GD105" s="65"/>
      <c r="GE105" s="65"/>
      <c r="GF105" s="65"/>
      <c r="GG105" s="65"/>
      <c r="GH105" s="65"/>
      <c r="GI105" s="65"/>
      <c r="GJ105" s="65"/>
      <c r="GK105" s="65"/>
      <c r="GL105" s="65"/>
      <c r="GM105" s="65"/>
      <c r="GN105" s="65"/>
      <c r="GO105" s="65"/>
      <c r="GP105" s="65"/>
      <c r="GQ105" s="65"/>
      <c r="GR105" s="65"/>
      <c r="GS105" s="65"/>
      <c r="GT105" s="65"/>
      <c r="GU105" s="65"/>
      <c r="GV105" s="65"/>
      <c r="GW105" s="65"/>
      <c r="GX105" s="65"/>
      <c r="GY105" s="65"/>
      <c r="GZ105" s="65"/>
      <c r="HA105" s="65"/>
      <c r="HB105" s="65"/>
      <c r="HC105" s="65"/>
      <c r="HD105" s="65"/>
      <c r="HE105" s="65"/>
      <c r="HF105" s="65"/>
      <c r="HG105" s="65"/>
      <c r="HH105" s="65"/>
      <c r="HI105" s="65"/>
      <c r="HJ105" s="65"/>
      <c r="HK105" s="65"/>
      <c r="HL105" s="65"/>
      <c r="HM105" s="65"/>
      <c r="HN105" s="65"/>
      <c r="HO105" s="65"/>
      <c r="HP105" s="65"/>
      <c r="HQ105" s="65"/>
      <c r="HR105" s="65"/>
      <c r="HS105" s="65"/>
      <c r="HT105" s="65"/>
      <c r="HU105" s="65"/>
      <c r="HV105" s="65"/>
      <c r="HW105" s="65"/>
      <c r="HX105" s="65"/>
      <c r="HY105" s="65"/>
      <c r="HZ105" s="65"/>
      <c r="IA105" s="65"/>
      <c r="IB105" s="65"/>
      <c r="IC105" s="65"/>
      <c r="ID105" s="65"/>
      <c r="IE105" s="65"/>
      <c r="IF105" s="65"/>
      <c r="IG105" s="65"/>
      <c r="IH105" s="65"/>
      <c r="II105" s="65"/>
      <c r="IJ105" s="65"/>
      <c r="IK105" s="65"/>
      <c r="IL105" s="65"/>
      <c r="IM105" s="65"/>
      <c r="IN105" s="65"/>
      <c r="IO105" s="65"/>
      <c r="IP105" s="65"/>
      <c r="IQ105" s="65"/>
      <c r="IR105" s="65"/>
    </row>
    <row r="106" s="1" customFormat="1" spans="1:252">
      <c r="A106" s="151" t="s">
        <v>103</v>
      </c>
      <c r="B106" s="152">
        <v>0</v>
      </c>
      <c r="C106" s="152">
        <v>0</v>
      </c>
      <c r="D106" s="152">
        <v>0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5"/>
      <c r="EQ106" s="65"/>
      <c r="ER106" s="65"/>
      <c r="ES106" s="65"/>
      <c r="ET106" s="65"/>
      <c r="EU106" s="65"/>
      <c r="EV106" s="65"/>
      <c r="EW106" s="65"/>
      <c r="EX106" s="65"/>
      <c r="EY106" s="65"/>
      <c r="EZ106" s="65"/>
      <c r="FA106" s="65"/>
      <c r="FB106" s="65"/>
      <c r="FC106" s="65"/>
      <c r="FD106" s="65"/>
      <c r="FE106" s="65"/>
      <c r="FF106" s="65"/>
      <c r="FG106" s="65"/>
      <c r="FH106" s="65"/>
      <c r="FI106" s="65"/>
      <c r="FJ106" s="65"/>
      <c r="FK106" s="65"/>
      <c r="FL106" s="65"/>
      <c r="FM106" s="65"/>
      <c r="FN106" s="65"/>
      <c r="FO106" s="65"/>
      <c r="FP106" s="65"/>
      <c r="FQ106" s="65"/>
      <c r="FR106" s="65"/>
      <c r="FS106" s="65"/>
      <c r="FT106" s="65"/>
      <c r="FU106" s="65"/>
      <c r="FV106" s="65"/>
      <c r="FW106" s="65"/>
      <c r="FX106" s="65"/>
      <c r="FY106" s="65"/>
      <c r="FZ106" s="65"/>
      <c r="GA106" s="65"/>
      <c r="GB106" s="65"/>
      <c r="GC106" s="65"/>
      <c r="GD106" s="65"/>
      <c r="GE106" s="65"/>
      <c r="GF106" s="65"/>
      <c r="GG106" s="65"/>
      <c r="GH106" s="65"/>
      <c r="GI106" s="65"/>
      <c r="GJ106" s="65"/>
      <c r="GK106" s="65"/>
      <c r="GL106" s="65"/>
      <c r="GM106" s="65"/>
      <c r="GN106" s="65"/>
      <c r="GO106" s="65"/>
      <c r="GP106" s="65"/>
      <c r="GQ106" s="65"/>
      <c r="GR106" s="65"/>
      <c r="GS106" s="65"/>
      <c r="GT106" s="65"/>
      <c r="GU106" s="65"/>
      <c r="GV106" s="65"/>
      <c r="GW106" s="65"/>
      <c r="GX106" s="65"/>
      <c r="GY106" s="65"/>
      <c r="GZ106" s="65"/>
      <c r="HA106" s="65"/>
      <c r="HB106" s="65"/>
      <c r="HC106" s="65"/>
      <c r="HD106" s="65"/>
      <c r="HE106" s="65"/>
      <c r="HF106" s="65"/>
      <c r="HG106" s="65"/>
      <c r="HH106" s="65"/>
      <c r="HI106" s="65"/>
      <c r="HJ106" s="65"/>
      <c r="HK106" s="65"/>
      <c r="HL106" s="65"/>
      <c r="HM106" s="65"/>
      <c r="HN106" s="65"/>
      <c r="HO106" s="65"/>
      <c r="HP106" s="65"/>
      <c r="HQ106" s="65"/>
      <c r="HR106" s="65"/>
      <c r="HS106" s="65"/>
      <c r="HT106" s="65"/>
      <c r="HU106" s="65"/>
      <c r="HV106" s="65"/>
      <c r="HW106" s="65"/>
      <c r="HX106" s="65"/>
      <c r="HY106" s="65"/>
      <c r="HZ106" s="65"/>
      <c r="IA106" s="65"/>
      <c r="IB106" s="65"/>
      <c r="IC106" s="65"/>
      <c r="ID106" s="65"/>
      <c r="IE106" s="65"/>
      <c r="IF106" s="65"/>
      <c r="IG106" s="65"/>
      <c r="IH106" s="65"/>
      <c r="II106" s="65"/>
      <c r="IJ106" s="65"/>
      <c r="IK106" s="65"/>
      <c r="IL106" s="65"/>
      <c r="IM106" s="65"/>
      <c r="IN106" s="65"/>
      <c r="IO106" s="65"/>
      <c r="IP106" s="65"/>
      <c r="IQ106" s="65"/>
      <c r="IR106" s="65"/>
    </row>
    <row r="107" s="1" customFormat="1" spans="1:252">
      <c r="A107" s="151" t="s">
        <v>104</v>
      </c>
      <c r="B107" s="152">
        <v>0</v>
      </c>
      <c r="C107" s="152">
        <v>0</v>
      </c>
      <c r="D107" s="152">
        <v>0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  <c r="EO107" s="65"/>
      <c r="EP107" s="65"/>
      <c r="EQ107" s="65"/>
      <c r="ER107" s="65"/>
      <c r="ES107" s="65"/>
      <c r="ET107" s="65"/>
      <c r="EU107" s="65"/>
      <c r="EV107" s="65"/>
      <c r="EW107" s="65"/>
      <c r="EX107" s="65"/>
      <c r="EY107" s="65"/>
      <c r="EZ107" s="65"/>
      <c r="FA107" s="65"/>
      <c r="FB107" s="65"/>
      <c r="FC107" s="65"/>
      <c r="FD107" s="65"/>
      <c r="FE107" s="65"/>
      <c r="FF107" s="65"/>
      <c r="FG107" s="65"/>
      <c r="FH107" s="65"/>
      <c r="FI107" s="65"/>
      <c r="FJ107" s="65"/>
      <c r="FK107" s="65"/>
      <c r="FL107" s="65"/>
      <c r="FM107" s="65"/>
      <c r="FN107" s="65"/>
      <c r="FO107" s="65"/>
      <c r="FP107" s="65"/>
      <c r="FQ107" s="65"/>
      <c r="FR107" s="65"/>
      <c r="FS107" s="65"/>
      <c r="FT107" s="65"/>
      <c r="FU107" s="65"/>
      <c r="FV107" s="65"/>
      <c r="FW107" s="65"/>
      <c r="FX107" s="65"/>
      <c r="FY107" s="65"/>
      <c r="FZ107" s="65"/>
      <c r="GA107" s="65"/>
      <c r="GB107" s="65"/>
      <c r="GC107" s="65"/>
      <c r="GD107" s="65"/>
      <c r="GE107" s="65"/>
      <c r="GF107" s="65"/>
      <c r="GG107" s="65"/>
      <c r="GH107" s="65"/>
      <c r="GI107" s="65"/>
      <c r="GJ107" s="65"/>
      <c r="GK107" s="65"/>
      <c r="GL107" s="65"/>
      <c r="GM107" s="65"/>
      <c r="GN107" s="65"/>
      <c r="GO107" s="65"/>
      <c r="GP107" s="65"/>
      <c r="GQ107" s="65"/>
      <c r="GR107" s="65"/>
      <c r="GS107" s="65"/>
      <c r="GT107" s="65"/>
      <c r="GU107" s="65"/>
      <c r="GV107" s="65"/>
      <c r="GW107" s="65"/>
      <c r="GX107" s="65"/>
      <c r="GY107" s="65"/>
      <c r="GZ107" s="65"/>
      <c r="HA107" s="65"/>
      <c r="HB107" s="65"/>
      <c r="HC107" s="65"/>
      <c r="HD107" s="65"/>
      <c r="HE107" s="65"/>
      <c r="HF107" s="65"/>
      <c r="HG107" s="65"/>
      <c r="HH107" s="65"/>
      <c r="HI107" s="65"/>
      <c r="HJ107" s="65"/>
      <c r="HK107" s="65"/>
      <c r="HL107" s="65"/>
      <c r="HM107" s="65"/>
      <c r="HN107" s="65"/>
      <c r="HO107" s="65"/>
      <c r="HP107" s="65"/>
      <c r="HQ107" s="65"/>
      <c r="HR107" s="65"/>
      <c r="HS107" s="65"/>
      <c r="HT107" s="65"/>
      <c r="HU107" s="65"/>
      <c r="HV107" s="65"/>
      <c r="HW107" s="65"/>
      <c r="HX107" s="65"/>
      <c r="HY107" s="65"/>
      <c r="HZ107" s="65"/>
      <c r="IA107" s="65"/>
      <c r="IB107" s="65"/>
      <c r="IC107" s="65"/>
      <c r="ID107" s="65"/>
      <c r="IE107" s="65"/>
      <c r="IF107" s="65"/>
      <c r="IG107" s="65"/>
      <c r="IH107" s="65"/>
      <c r="II107" s="65"/>
      <c r="IJ107" s="65"/>
      <c r="IK107" s="65"/>
      <c r="IL107" s="65"/>
      <c r="IM107" s="65"/>
      <c r="IN107" s="65"/>
      <c r="IO107" s="65"/>
      <c r="IP107" s="65"/>
      <c r="IQ107" s="65"/>
      <c r="IR107" s="65"/>
    </row>
    <row r="108" s="1" customFormat="1" spans="1:252">
      <c r="A108" s="147" t="s">
        <v>107</v>
      </c>
      <c r="B108" s="148">
        <v>0</v>
      </c>
      <c r="C108" s="148">
        <v>0</v>
      </c>
      <c r="D108" s="148">
        <v>0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B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Q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  <c r="EB108" s="65"/>
      <c r="EC108" s="65"/>
      <c r="ED108" s="65"/>
      <c r="EE108" s="65"/>
      <c r="EF108" s="65"/>
      <c r="EG108" s="65"/>
      <c r="EH108" s="65"/>
      <c r="EI108" s="65"/>
      <c r="EJ108" s="65"/>
      <c r="EK108" s="65"/>
      <c r="EL108" s="65"/>
      <c r="EM108" s="65"/>
      <c r="EN108" s="65"/>
      <c r="EO108" s="65"/>
      <c r="EP108" s="65"/>
      <c r="EQ108" s="65"/>
      <c r="ER108" s="65"/>
      <c r="ES108" s="65"/>
      <c r="ET108" s="65"/>
      <c r="EU108" s="65"/>
      <c r="EV108" s="65"/>
      <c r="EW108" s="65"/>
      <c r="EX108" s="65"/>
      <c r="EY108" s="65"/>
      <c r="EZ108" s="65"/>
      <c r="FA108" s="65"/>
      <c r="FB108" s="65"/>
      <c r="FC108" s="65"/>
      <c r="FD108" s="65"/>
      <c r="FE108" s="65"/>
      <c r="FF108" s="65"/>
      <c r="FG108" s="65"/>
      <c r="FH108" s="65"/>
      <c r="FI108" s="65"/>
      <c r="FJ108" s="65"/>
      <c r="FK108" s="65"/>
      <c r="FL108" s="65"/>
      <c r="FM108" s="65"/>
      <c r="FN108" s="65"/>
      <c r="FO108" s="65"/>
      <c r="FP108" s="65"/>
      <c r="FQ108" s="65"/>
      <c r="FR108" s="65"/>
      <c r="FS108" s="65"/>
      <c r="FT108" s="65"/>
      <c r="FU108" s="65"/>
      <c r="FV108" s="65"/>
      <c r="FW108" s="65"/>
      <c r="FX108" s="65"/>
      <c r="FY108" s="65"/>
      <c r="FZ108" s="65"/>
      <c r="GA108" s="65"/>
      <c r="GB108" s="65"/>
      <c r="GC108" s="65"/>
      <c r="GD108" s="65"/>
      <c r="GE108" s="65"/>
      <c r="GF108" s="65"/>
      <c r="GG108" s="65"/>
      <c r="GH108" s="65"/>
      <c r="GI108" s="65"/>
      <c r="GJ108" s="65"/>
      <c r="GK108" s="65"/>
      <c r="GL108" s="65"/>
      <c r="GM108" s="65"/>
      <c r="GN108" s="65"/>
      <c r="GO108" s="65"/>
      <c r="GP108" s="65"/>
      <c r="GQ108" s="65"/>
      <c r="GR108" s="65"/>
      <c r="GS108" s="65"/>
      <c r="GT108" s="65"/>
      <c r="GU108" s="65"/>
      <c r="GV108" s="65"/>
      <c r="GW108" s="65"/>
      <c r="GX108" s="65"/>
      <c r="GY108" s="65"/>
      <c r="GZ108" s="65"/>
      <c r="HA108" s="65"/>
      <c r="HB108" s="65"/>
      <c r="HC108" s="65"/>
      <c r="HD108" s="65"/>
      <c r="HE108" s="65"/>
      <c r="HF108" s="65"/>
      <c r="HG108" s="65"/>
      <c r="HH108" s="65"/>
      <c r="HI108" s="65"/>
      <c r="HJ108" s="65"/>
      <c r="HK108" s="65"/>
      <c r="HL108" s="65"/>
      <c r="HM108" s="65"/>
      <c r="HN108" s="65"/>
      <c r="HO108" s="65"/>
      <c r="HP108" s="65"/>
      <c r="HQ108" s="65"/>
      <c r="HR108" s="65"/>
      <c r="HS108" s="65"/>
      <c r="HT108" s="65"/>
      <c r="HU108" s="65"/>
      <c r="HV108" s="65"/>
      <c r="HW108" s="65"/>
      <c r="HX108" s="65"/>
      <c r="HY108" s="65"/>
      <c r="HZ108" s="65"/>
      <c r="IA108" s="65"/>
      <c r="IB108" s="65"/>
      <c r="IC108" s="65"/>
      <c r="ID108" s="65"/>
      <c r="IE108" s="65"/>
      <c r="IF108" s="65"/>
      <c r="IG108" s="65"/>
      <c r="IH108" s="65"/>
      <c r="II108" s="65"/>
      <c r="IJ108" s="65"/>
      <c r="IK108" s="65"/>
      <c r="IL108" s="65"/>
      <c r="IM108" s="65"/>
      <c r="IN108" s="65"/>
      <c r="IO108" s="65"/>
      <c r="IP108" s="65"/>
      <c r="IQ108" s="65"/>
      <c r="IR108" s="65"/>
    </row>
  </sheetData>
  <mergeCells count="4">
    <mergeCell ref="A1:D1"/>
    <mergeCell ref="A2:D2"/>
    <mergeCell ref="C3:D3"/>
    <mergeCell ref="B3:B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9"/>
  <sheetViews>
    <sheetView workbookViewId="0">
      <selection activeCell="A1" sqref="$A1:$XFD1048576"/>
    </sheetView>
  </sheetViews>
  <sheetFormatPr defaultColWidth="7.875" defaultRowHeight="15.75"/>
  <cols>
    <col min="1" max="2" width="7.875" style="1" customWidth="1"/>
    <col min="3" max="3" width="26.5" style="1" customWidth="1"/>
    <col min="4" max="15" width="7.875" style="1" customWidth="1"/>
    <col min="16" max="16" width="9.625" style="1" customWidth="1"/>
    <col min="17" max="17" width="7.875" style="1" customWidth="1"/>
    <col min="18" max="18" width="12.5" style="1" customWidth="1"/>
    <col min="19" max="255" width="7.875" style="1" customWidth="1"/>
    <col min="256" max="16384" width="7.875" style="1"/>
  </cols>
  <sheetData>
    <row r="1" s="65" customFormat="1" ht="21" spans="1:19">
      <c r="A1" s="66" t="s">
        <v>150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="65" customFormat="1" spans="1:19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3"/>
      <c r="O2" s="123"/>
      <c r="P2" s="67"/>
      <c r="Q2" s="67"/>
      <c r="R2" s="67"/>
      <c r="S2" s="67"/>
    </row>
    <row r="3" s="65" customFormat="1" ht="46" customHeight="1" spans="1:19">
      <c r="A3" s="68" t="s">
        <v>152</v>
      </c>
      <c r="B3" s="68" t="s">
        <v>153</v>
      </c>
      <c r="C3" s="68" t="s">
        <v>154</v>
      </c>
      <c r="D3" s="68" t="s">
        <v>155</v>
      </c>
      <c r="E3" s="115" t="s">
        <v>156</v>
      </c>
      <c r="F3" s="115"/>
      <c r="G3" s="115"/>
      <c r="H3" s="115"/>
      <c r="I3" s="122" t="s">
        <v>133</v>
      </c>
      <c r="J3" s="122"/>
      <c r="K3" s="122"/>
      <c r="L3" s="122"/>
      <c r="M3" s="115" t="s">
        <v>157</v>
      </c>
      <c r="N3" s="115" t="s">
        <v>158</v>
      </c>
      <c r="O3" s="115"/>
      <c r="P3" s="124" t="s">
        <v>159</v>
      </c>
      <c r="Q3" s="115" t="s">
        <v>160</v>
      </c>
      <c r="R3" s="128" t="s">
        <v>161</v>
      </c>
      <c r="S3" s="129" t="s">
        <v>162</v>
      </c>
    </row>
    <row r="4" s="65" customFormat="1" ht="66.95" customHeight="1" spans="1:19">
      <c r="A4" s="69"/>
      <c r="B4" s="69"/>
      <c r="C4" s="69"/>
      <c r="D4" s="69"/>
      <c r="E4" s="115" t="s">
        <v>117</v>
      </c>
      <c r="F4" s="115" t="s">
        <v>163</v>
      </c>
      <c r="G4" s="115" t="s">
        <v>164</v>
      </c>
      <c r="H4" s="115" t="s">
        <v>4</v>
      </c>
      <c r="I4" s="115" t="s">
        <v>117</v>
      </c>
      <c r="J4" s="115" t="s">
        <v>163</v>
      </c>
      <c r="K4" s="115" t="s">
        <v>164</v>
      </c>
      <c r="L4" s="115" t="s">
        <v>4</v>
      </c>
      <c r="M4" s="115"/>
      <c r="N4" s="115" t="s">
        <v>120</v>
      </c>
      <c r="O4" s="115" t="s">
        <v>165</v>
      </c>
      <c r="P4" s="115"/>
      <c r="Q4" s="115"/>
      <c r="R4" s="130"/>
      <c r="S4" s="131"/>
    </row>
    <row r="5" s="65" customFormat="1" ht="30.95" customHeight="1" spans="1:19">
      <c r="A5" s="70"/>
      <c r="B5" s="70"/>
      <c r="C5" s="70"/>
      <c r="D5" s="70"/>
      <c r="E5" s="231" t="s">
        <v>10</v>
      </c>
      <c r="F5" s="231" t="s">
        <v>11</v>
      </c>
      <c r="G5" s="231" t="s">
        <v>12</v>
      </c>
      <c r="H5" s="116" t="s">
        <v>166</v>
      </c>
      <c r="I5" s="116" t="s">
        <v>167</v>
      </c>
      <c r="J5" s="116" t="s">
        <v>168</v>
      </c>
      <c r="K5" s="116" t="s">
        <v>169</v>
      </c>
      <c r="L5" s="116" t="s">
        <v>170</v>
      </c>
      <c r="M5" s="231" t="s">
        <v>171</v>
      </c>
      <c r="N5" s="125" t="s">
        <v>172</v>
      </c>
      <c r="O5" s="125" t="s">
        <v>173</v>
      </c>
      <c r="P5" s="68">
        <v>12</v>
      </c>
      <c r="Q5" s="68" t="s">
        <v>174</v>
      </c>
      <c r="R5" s="132">
        <v>14</v>
      </c>
      <c r="S5" s="131"/>
    </row>
    <row r="6" s="1" customFormat="1" spans="1:19">
      <c r="A6" s="71" t="s">
        <v>175</v>
      </c>
      <c r="B6" s="71">
        <v>1</v>
      </c>
      <c r="C6" s="71" t="s">
        <v>176</v>
      </c>
      <c r="D6" s="71" t="s">
        <v>177</v>
      </c>
      <c r="E6" s="117">
        <v>0</v>
      </c>
      <c r="F6" s="117">
        <v>251</v>
      </c>
      <c r="G6" s="117">
        <f>2776-1</f>
        <v>2775</v>
      </c>
      <c r="H6" s="117">
        <f t="shared" ref="H6:H30" si="0">E6+F6+G6</f>
        <v>3026</v>
      </c>
      <c r="I6" s="117">
        <f t="shared" ref="I6:I57" si="1">E6*0.24</f>
        <v>0</v>
      </c>
      <c r="J6" s="117">
        <f t="shared" ref="J6:J57" si="2">F6*0.32</f>
        <v>80.32</v>
      </c>
      <c r="K6" s="117">
        <f t="shared" ref="K6:K57" si="3">G6*0.21</f>
        <v>582.75</v>
      </c>
      <c r="L6" s="117">
        <f t="shared" ref="L6:L57" si="4">I6+J6+K6</f>
        <v>663.07</v>
      </c>
      <c r="M6" s="60">
        <v>5</v>
      </c>
      <c r="N6" s="117">
        <f t="shared" ref="N6:N12" si="5">L6*M6*0.1</f>
        <v>331.535</v>
      </c>
      <c r="O6" s="117">
        <f t="shared" ref="O6:O16" si="6">L6-N6</f>
        <v>331.535</v>
      </c>
      <c r="P6" s="117">
        <v>112.6886</v>
      </c>
      <c r="Q6" s="117">
        <f t="shared" ref="Q6:Q54" si="7">N6-P6</f>
        <v>218.8464</v>
      </c>
      <c r="R6" s="63">
        <f t="shared" ref="R6:R11" si="8">Q6</f>
        <v>218.8464</v>
      </c>
      <c r="S6" s="117"/>
    </row>
    <row r="7" s="1" customFormat="1" spans="1:19">
      <c r="A7" s="71"/>
      <c r="B7" s="71">
        <v>2</v>
      </c>
      <c r="C7" s="71" t="s">
        <v>178</v>
      </c>
      <c r="D7" s="71"/>
      <c r="E7" s="117">
        <v>0</v>
      </c>
      <c r="F7" s="117">
        <v>63</v>
      </c>
      <c r="G7" s="117">
        <f>2899-6</f>
        <v>2893</v>
      </c>
      <c r="H7" s="117">
        <f t="shared" si="0"/>
        <v>2956</v>
      </c>
      <c r="I7" s="117">
        <f t="shared" si="1"/>
        <v>0</v>
      </c>
      <c r="J7" s="117">
        <f t="shared" si="2"/>
        <v>20.16</v>
      </c>
      <c r="K7" s="117">
        <f t="shared" si="3"/>
        <v>607.53</v>
      </c>
      <c r="L7" s="117">
        <f t="shared" si="4"/>
        <v>627.69</v>
      </c>
      <c r="M7" s="60">
        <v>5</v>
      </c>
      <c r="N7" s="117">
        <f t="shared" si="5"/>
        <v>313.845</v>
      </c>
      <c r="O7" s="117">
        <f t="shared" si="6"/>
        <v>313.845</v>
      </c>
      <c r="P7" s="117">
        <v>95.8796</v>
      </c>
      <c r="Q7" s="117">
        <f t="shared" si="7"/>
        <v>217.9654</v>
      </c>
      <c r="R7" s="63">
        <f t="shared" si="8"/>
        <v>217.9654</v>
      </c>
      <c r="S7" s="117"/>
    </row>
    <row r="8" s="1" customFormat="1" spans="1:19">
      <c r="A8" s="71"/>
      <c r="B8" s="71">
        <v>3</v>
      </c>
      <c r="C8" s="71" t="s">
        <v>179</v>
      </c>
      <c r="D8" s="71"/>
      <c r="E8" s="117">
        <v>0</v>
      </c>
      <c r="F8" s="117">
        <v>0</v>
      </c>
      <c r="G8" s="117">
        <v>1688</v>
      </c>
      <c r="H8" s="117">
        <f t="shared" si="0"/>
        <v>1688</v>
      </c>
      <c r="I8" s="117">
        <f t="shared" si="1"/>
        <v>0</v>
      </c>
      <c r="J8" s="117">
        <f t="shared" si="2"/>
        <v>0</v>
      </c>
      <c r="K8" s="117">
        <f t="shared" si="3"/>
        <v>354.48</v>
      </c>
      <c r="L8" s="117">
        <f t="shared" si="4"/>
        <v>354.48</v>
      </c>
      <c r="M8" s="60">
        <v>5</v>
      </c>
      <c r="N8" s="117">
        <f t="shared" si="5"/>
        <v>177.24</v>
      </c>
      <c r="O8" s="117">
        <f t="shared" si="6"/>
        <v>177.24</v>
      </c>
      <c r="P8" s="117">
        <v>474.616</v>
      </c>
      <c r="Q8" s="117">
        <f t="shared" si="7"/>
        <v>-297.376</v>
      </c>
      <c r="R8" s="63">
        <v>0</v>
      </c>
      <c r="S8" s="117"/>
    </row>
    <row r="9" s="1" customFormat="1" spans="1:19">
      <c r="A9" s="71"/>
      <c r="B9" s="71">
        <v>4</v>
      </c>
      <c r="C9" s="71" t="s">
        <v>180</v>
      </c>
      <c r="D9" s="71"/>
      <c r="E9" s="117">
        <v>0</v>
      </c>
      <c r="F9" s="117">
        <v>257</v>
      </c>
      <c r="G9" s="117">
        <f>2265-12</f>
        <v>2253</v>
      </c>
      <c r="H9" s="117">
        <f t="shared" si="0"/>
        <v>2510</v>
      </c>
      <c r="I9" s="117">
        <f t="shared" si="1"/>
        <v>0</v>
      </c>
      <c r="J9" s="117">
        <f t="shared" si="2"/>
        <v>82.24</v>
      </c>
      <c r="K9" s="117">
        <f t="shared" si="3"/>
        <v>473.13</v>
      </c>
      <c r="L9" s="117">
        <f t="shared" si="4"/>
        <v>555.37</v>
      </c>
      <c r="M9" s="60">
        <v>5</v>
      </c>
      <c r="N9" s="117">
        <f t="shared" si="5"/>
        <v>277.685</v>
      </c>
      <c r="O9" s="117">
        <f t="shared" si="6"/>
        <v>277.685</v>
      </c>
      <c r="P9" s="117">
        <v>305.0834</v>
      </c>
      <c r="Q9" s="117">
        <f t="shared" si="7"/>
        <v>-27.3984</v>
      </c>
      <c r="R9" s="63">
        <v>0</v>
      </c>
      <c r="S9" s="117"/>
    </row>
    <row r="10" s="1" customFormat="1" spans="1:19">
      <c r="A10" s="71"/>
      <c r="B10" s="71">
        <v>5</v>
      </c>
      <c r="C10" s="71" t="s">
        <v>181</v>
      </c>
      <c r="D10" s="71"/>
      <c r="E10" s="117">
        <v>0</v>
      </c>
      <c r="F10" s="117">
        <v>0</v>
      </c>
      <c r="G10" s="117">
        <f>1508-5</f>
        <v>1503</v>
      </c>
      <c r="H10" s="117">
        <f t="shared" si="0"/>
        <v>1503</v>
      </c>
      <c r="I10" s="117">
        <f t="shared" si="1"/>
        <v>0</v>
      </c>
      <c r="J10" s="117">
        <f t="shared" si="2"/>
        <v>0</v>
      </c>
      <c r="K10" s="117">
        <f t="shared" si="3"/>
        <v>315.63</v>
      </c>
      <c r="L10" s="117">
        <f t="shared" si="4"/>
        <v>315.63</v>
      </c>
      <c r="M10" s="60">
        <v>5</v>
      </c>
      <c r="N10" s="117">
        <f t="shared" si="5"/>
        <v>157.815</v>
      </c>
      <c r="O10" s="117">
        <f t="shared" si="6"/>
        <v>157.815</v>
      </c>
      <c r="P10" s="117">
        <v>88.772</v>
      </c>
      <c r="Q10" s="117">
        <f t="shared" si="7"/>
        <v>69.043</v>
      </c>
      <c r="R10" s="63">
        <f t="shared" si="8"/>
        <v>69.043</v>
      </c>
      <c r="S10" s="117"/>
    </row>
    <row r="11" s="1" customFormat="1" spans="1:19">
      <c r="A11" s="71"/>
      <c r="B11" s="71">
        <v>6</v>
      </c>
      <c r="C11" s="71" t="s">
        <v>182</v>
      </c>
      <c r="D11" s="71"/>
      <c r="E11" s="117">
        <v>0</v>
      </c>
      <c r="F11" s="117">
        <v>0</v>
      </c>
      <c r="G11" s="117">
        <f>1703-47</f>
        <v>1656</v>
      </c>
      <c r="H11" s="117">
        <f t="shared" si="0"/>
        <v>1656</v>
      </c>
      <c r="I11" s="117">
        <f t="shared" si="1"/>
        <v>0</v>
      </c>
      <c r="J11" s="117">
        <f t="shared" si="2"/>
        <v>0</v>
      </c>
      <c r="K11" s="117">
        <f t="shared" si="3"/>
        <v>347.76</v>
      </c>
      <c r="L11" s="117">
        <f t="shared" si="4"/>
        <v>347.76</v>
      </c>
      <c r="M11" s="60">
        <v>5</v>
      </c>
      <c r="N11" s="117">
        <f t="shared" si="5"/>
        <v>173.88</v>
      </c>
      <c r="O11" s="117">
        <f t="shared" si="6"/>
        <v>173.88</v>
      </c>
      <c r="P11" s="117">
        <v>66.9984</v>
      </c>
      <c r="Q11" s="117">
        <f t="shared" si="7"/>
        <v>106.8816</v>
      </c>
      <c r="R11" s="63">
        <f t="shared" si="8"/>
        <v>106.8816</v>
      </c>
      <c r="S11" s="117"/>
    </row>
    <row r="12" s="1" customFormat="1" spans="1:19">
      <c r="A12" s="71"/>
      <c r="B12" s="71">
        <v>7</v>
      </c>
      <c r="C12" s="71" t="s">
        <v>183</v>
      </c>
      <c r="D12" s="71"/>
      <c r="E12" s="117">
        <v>0</v>
      </c>
      <c r="F12" s="117">
        <v>0</v>
      </c>
      <c r="G12" s="117">
        <f>1227-4</f>
        <v>1223</v>
      </c>
      <c r="H12" s="117">
        <f t="shared" si="0"/>
        <v>1223</v>
      </c>
      <c r="I12" s="117">
        <f t="shared" si="1"/>
        <v>0</v>
      </c>
      <c r="J12" s="117">
        <f t="shared" si="2"/>
        <v>0</v>
      </c>
      <c r="K12" s="117">
        <f t="shared" si="3"/>
        <v>256.83</v>
      </c>
      <c r="L12" s="117">
        <f t="shared" si="4"/>
        <v>256.83</v>
      </c>
      <c r="M12" s="60">
        <v>5</v>
      </c>
      <c r="N12" s="117">
        <f t="shared" si="5"/>
        <v>128.415</v>
      </c>
      <c r="O12" s="117">
        <f t="shared" si="6"/>
        <v>128.415</v>
      </c>
      <c r="P12" s="117">
        <v>154.3076</v>
      </c>
      <c r="Q12" s="117">
        <f t="shared" si="7"/>
        <v>-25.8926</v>
      </c>
      <c r="R12" s="63">
        <v>0</v>
      </c>
      <c r="S12" s="117"/>
    </row>
    <row r="13" s="1" customFormat="1" spans="1:19">
      <c r="A13" s="71"/>
      <c r="B13" s="71">
        <v>8</v>
      </c>
      <c r="C13" s="71" t="s">
        <v>184</v>
      </c>
      <c r="D13" s="71"/>
      <c r="E13" s="117">
        <v>62</v>
      </c>
      <c r="F13" s="117">
        <v>0</v>
      </c>
      <c r="G13" s="117">
        <f>2886-1</f>
        <v>2885</v>
      </c>
      <c r="H13" s="117">
        <f t="shared" si="0"/>
        <v>2947</v>
      </c>
      <c r="I13" s="117">
        <f t="shared" si="1"/>
        <v>14.88</v>
      </c>
      <c r="J13" s="117">
        <f t="shared" si="2"/>
        <v>0</v>
      </c>
      <c r="K13" s="117">
        <f t="shared" si="3"/>
        <v>605.85</v>
      </c>
      <c r="L13" s="117">
        <f t="shared" si="4"/>
        <v>620.73</v>
      </c>
      <c r="M13" s="60">
        <v>5</v>
      </c>
      <c r="N13" s="117">
        <f>K13*M13*0.1+I13</f>
        <v>317.805</v>
      </c>
      <c r="O13" s="117">
        <f t="shared" si="6"/>
        <v>302.925</v>
      </c>
      <c r="P13" s="117">
        <v>39.4869</v>
      </c>
      <c r="Q13" s="117">
        <f t="shared" si="7"/>
        <v>278.3181</v>
      </c>
      <c r="R13" s="63">
        <f t="shared" ref="R13:R16" si="9">Q13</f>
        <v>278.3181</v>
      </c>
      <c r="S13" s="117"/>
    </row>
    <row r="14" s="1" customFormat="1" spans="1:19">
      <c r="A14" s="71"/>
      <c r="B14" s="71">
        <v>9</v>
      </c>
      <c r="C14" s="71" t="s">
        <v>185</v>
      </c>
      <c r="D14" s="71"/>
      <c r="E14" s="117">
        <v>0</v>
      </c>
      <c r="F14" s="117">
        <v>0</v>
      </c>
      <c r="G14" s="117">
        <f>865-3</f>
        <v>862</v>
      </c>
      <c r="H14" s="117">
        <f t="shared" si="0"/>
        <v>862</v>
      </c>
      <c r="I14" s="117">
        <f t="shared" si="1"/>
        <v>0</v>
      </c>
      <c r="J14" s="117">
        <f t="shared" si="2"/>
        <v>0</v>
      </c>
      <c r="K14" s="117">
        <f t="shared" si="3"/>
        <v>181.02</v>
      </c>
      <c r="L14" s="117">
        <f t="shared" si="4"/>
        <v>181.02</v>
      </c>
      <c r="M14" s="60">
        <v>5</v>
      </c>
      <c r="N14" s="117">
        <f t="shared" ref="N14:N16" si="10">L14*M14*0.1</f>
        <v>90.51</v>
      </c>
      <c r="O14" s="117">
        <f t="shared" si="6"/>
        <v>90.51</v>
      </c>
      <c r="P14" s="117">
        <v>29.632</v>
      </c>
      <c r="Q14" s="117">
        <f t="shared" si="7"/>
        <v>60.878</v>
      </c>
      <c r="R14" s="63">
        <f t="shared" si="9"/>
        <v>60.878</v>
      </c>
      <c r="S14" s="117"/>
    </row>
    <row r="15" s="1" customFormat="1" spans="1:19">
      <c r="A15" s="71"/>
      <c r="B15" s="71">
        <v>10</v>
      </c>
      <c r="C15" s="71" t="s">
        <v>186</v>
      </c>
      <c r="D15" s="71"/>
      <c r="E15" s="117">
        <v>0</v>
      </c>
      <c r="F15" s="117">
        <v>0</v>
      </c>
      <c r="G15" s="117">
        <f>192-1</f>
        <v>191</v>
      </c>
      <c r="H15" s="117">
        <f t="shared" si="0"/>
        <v>191</v>
      </c>
      <c r="I15" s="117">
        <f t="shared" si="1"/>
        <v>0</v>
      </c>
      <c r="J15" s="117">
        <f t="shared" si="2"/>
        <v>0</v>
      </c>
      <c r="K15" s="117">
        <f t="shared" si="3"/>
        <v>40.11</v>
      </c>
      <c r="L15" s="117">
        <f t="shared" si="4"/>
        <v>40.11</v>
      </c>
      <c r="M15" s="60">
        <v>5</v>
      </c>
      <c r="N15" s="117">
        <f t="shared" si="10"/>
        <v>20.055</v>
      </c>
      <c r="O15" s="117">
        <f t="shared" si="6"/>
        <v>20.055</v>
      </c>
      <c r="P15" s="117">
        <v>21.965</v>
      </c>
      <c r="Q15" s="117">
        <f t="shared" si="7"/>
        <v>-1.91</v>
      </c>
      <c r="R15" s="63">
        <v>0</v>
      </c>
      <c r="S15" s="117"/>
    </row>
    <row r="16" s="1" customFormat="1" spans="1:19">
      <c r="A16" s="71"/>
      <c r="B16" s="71">
        <v>11</v>
      </c>
      <c r="C16" s="71" t="s">
        <v>187</v>
      </c>
      <c r="D16" s="71"/>
      <c r="E16" s="117">
        <v>0</v>
      </c>
      <c r="F16" s="117">
        <v>0</v>
      </c>
      <c r="G16" s="117">
        <f>1236-22</f>
        <v>1214</v>
      </c>
      <c r="H16" s="117">
        <f t="shared" si="0"/>
        <v>1214</v>
      </c>
      <c r="I16" s="117">
        <f t="shared" si="1"/>
        <v>0</v>
      </c>
      <c r="J16" s="117">
        <f t="shared" si="2"/>
        <v>0</v>
      </c>
      <c r="K16" s="117">
        <f t="shared" si="3"/>
        <v>254.94</v>
      </c>
      <c r="L16" s="117">
        <f t="shared" si="4"/>
        <v>254.94</v>
      </c>
      <c r="M16" s="60">
        <v>5</v>
      </c>
      <c r="N16" s="117">
        <f t="shared" si="10"/>
        <v>127.47</v>
      </c>
      <c r="O16" s="117">
        <f t="shared" si="6"/>
        <v>127.47</v>
      </c>
      <c r="P16" s="117">
        <v>8.9598</v>
      </c>
      <c r="Q16" s="117">
        <f t="shared" si="7"/>
        <v>118.5102</v>
      </c>
      <c r="R16" s="63">
        <f t="shared" si="9"/>
        <v>118.5102</v>
      </c>
      <c r="S16" s="117"/>
    </row>
    <row r="17" s="1" customFormat="1" spans="1:19">
      <c r="A17" s="72"/>
      <c r="B17" s="72" t="s">
        <v>4</v>
      </c>
      <c r="C17" s="72"/>
      <c r="D17" s="72"/>
      <c r="E17" s="118">
        <f t="shared" ref="E17:G17" si="11">SUM(E6:E16)</f>
        <v>62</v>
      </c>
      <c r="F17" s="118">
        <f t="shared" si="11"/>
        <v>571</v>
      </c>
      <c r="G17" s="118">
        <f t="shared" si="11"/>
        <v>19143</v>
      </c>
      <c r="H17" s="118">
        <f t="shared" si="0"/>
        <v>19776</v>
      </c>
      <c r="I17" s="118">
        <f t="shared" si="1"/>
        <v>14.88</v>
      </c>
      <c r="J17" s="118">
        <f t="shared" si="2"/>
        <v>182.72</v>
      </c>
      <c r="K17" s="118">
        <f t="shared" si="3"/>
        <v>4020.03</v>
      </c>
      <c r="L17" s="118">
        <f t="shared" si="4"/>
        <v>4217.63</v>
      </c>
      <c r="M17" s="117"/>
      <c r="N17" s="118">
        <f t="shared" ref="N17:P17" si="12">SUM(N6:N16)</f>
        <v>2116.255</v>
      </c>
      <c r="O17" s="118">
        <f t="shared" si="12"/>
        <v>2101.375</v>
      </c>
      <c r="P17" s="118">
        <f t="shared" si="12"/>
        <v>1398.3893</v>
      </c>
      <c r="Q17" s="118">
        <f t="shared" si="7"/>
        <v>717.8657</v>
      </c>
      <c r="R17" s="133">
        <f>SUM(R6:R16)</f>
        <v>1070.4427</v>
      </c>
      <c r="S17" s="117"/>
    </row>
    <row r="18" s="1" customFormat="1" spans="1:19">
      <c r="A18" s="73" t="s">
        <v>188</v>
      </c>
      <c r="B18" s="74">
        <v>1</v>
      </c>
      <c r="C18" s="75" t="s">
        <v>189</v>
      </c>
      <c r="D18" s="73" t="s">
        <v>177</v>
      </c>
      <c r="E18" s="117">
        <v>0</v>
      </c>
      <c r="F18" s="117">
        <v>17</v>
      </c>
      <c r="G18" s="119">
        <f>1771-2</f>
        <v>1769</v>
      </c>
      <c r="H18" s="117">
        <f t="shared" si="0"/>
        <v>1786</v>
      </c>
      <c r="I18" s="117">
        <f t="shared" si="1"/>
        <v>0</v>
      </c>
      <c r="J18" s="117">
        <f t="shared" si="2"/>
        <v>5.44</v>
      </c>
      <c r="K18" s="117">
        <f t="shared" si="3"/>
        <v>371.49</v>
      </c>
      <c r="L18" s="117">
        <f t="shared" si="4"/>
        <v>376.93</v>
      </c>
      <c r="M18" s="60">
        <v>6</v>
      </c>
      <c r="N18" s="117">
        <f t="shared" ref="N18:N24" si="13">L18*M18*0.1</f>
        <v>226.158</v>
      </c>
      <c r="O18" s="117">
        <f t="shared" ref="O18:O24" si="14">L18-N18</f>
        <v>150.772</v>
      </c>
      <c r="P18" s="117">
        <v>191.0962</v>
      </c>
      <c r="Q18" s="117">
        <f t="shared" si="7"/>
        <v>35.0618</v>
      </c>
      <c r="R18" s="63">
        <f t="shared" ref="R18:R24" si="15">Q18</f>
        <v>35.0618</v>
      </c>
      <c r="S18" s="117"/>
    </row>
    <row r="19" s="1" customFormat="1" spans="1:19">
      <c r="A19" s="76"/>
      <c r="B19" s="74">
        <v>2</v>
      </c>
      <c r="C19" s="74" t="s">
        <v>190</v>
      </c>
      <c r="D19" s="77"/>
      <c r="E19" s="117">
        <v>33</v>
      </c>
      <c r="F19" s="117">
        <v>0</v>
      </c>
      <c r="G19" s="117">
        <f>2113-2</f>
        <v>2111</v>
      </c>
      <c r="H19" s="117">
        <f t="shared" si="0"/>
        <v>2144</v>
      </c>
      <c r="I19" s="117">
        <f t="shared" si="1"/>
        <v>7.92</v>
      </c>
      <c r="J19" s="117">
        <f t="shared" si="2"/>
        <v>0</v>
      </c>
      <c r="K19" s="117">
        <f t="shared" si="3"/>
        <v>443.31</v>
      </c>
      <c r="L19" s="117">
        <f t="shared" si="4"/>
        <v>451.23</v>
      </c>
      <c r="M19" s="60">
        <v>6</v>
      </c>
      <c r="N19" s="117">
        <f>K19*M19*0.1+I19</f>
        <v>273.906</v>
      </c>
      <c r="O19" s="117">
        <f t="shared" si="14"/>
        <v>177.324</v>
      </c>
      <c r="P19" s="117">
        <v>0</v>
      </c>
      <c r="Q19" s="117">
        <f t="shared" si="7"/>
        <v>273.906</v>
      </c>
      <c r="R19" s="63">
        <f t="shared" si="15"/>
        <v>273.906</v>
      </c>
      <c r="S19" s="117"/>
    </row>
    <row r="20" s="1" customFormat="1" spans="1:19">
      <c r="A20" s="77"/>
      <c r="B20" s="78" t="s">
        <v>4</v>
      </c>
      <c r="C20" s="79"/>
      <c r="D20" s="80"/>
      <c r="E20" s="118">
        <f t="shared" ref="E20:G20" si="16">SUM(E18:E19)</f>
        <v>33</v>
      </c>
      <c r="F20" s="118">
        <f t="shared" si="16"/>
        <v>17</v>
      </c>
      <c r="G20" s="118">
        <f t="shared" si="16"/>
        <v>3880</v>
      </c>
      <c r="H20" s="120">
        <f t="shared" si="0"/>
        <v>3930</v>
      </c>
      <c r="I20" s="118">
        <f t="shared" si="1"/>
        <v>7.92</v>
      </c>
      <c r="J20" s="118">
        <f t="shared" si="2"/>
        <v>5.44</v>
      </c>
      <c r="K20" s="118">
        <f t="shared" si="3"/>
        <v>814.8</v>
      </c>
      <c r="L20" s="118">
        <f t="shared" si="4"/>
        <v>828.16</v>
      </c>
      <c r="M20" s="118"/>
      <c r="N20" s="118">
        <f t="shared" ref="N20:R20" si="17">SUM(N18:N19)</f>
        <v>500.064</v>
      </c>
      <c r="O20" s="118">
        <f t="shared" si="14"/>
        <v>328.096</v>
      </c>
      <c r="P20" s="118">
        <f t="shared" si="17"/>
        <v>191.0962</v>
      </c>
      <c r="Q20" s="118">
        <f t="shared" si="7"/>
        <v>308.9678</v>
      </c>
      <c r="R20" s="134">
        <f t="shared" si="17"/>
        <v>308.9678</v>
      </c>
      <c r="S20" s="117"/>
    </row>
    <row r="21" s="1" customFormat="1" spans="1:19">
      <c r="A21" s="81" t="s">
        <v>191</v>
      </c>
      <c r="B21" s="82">
        <v>1</v>
      </c>
      <c r="C21" s="83" t="s">
        <v>192</v>
      </c>
      <c r="D21" s="84" t="s">
        <v>177</v>
      </c>
      <c r="E21" s="117">
        <v>0</v>
      </c>
      <c r="F21" s="117">
        <v>0</v>
      </c>
      <c r="G21" s="117">
        <v>423</v>
      </c>
      <c r="H21" s="117">
        <f t="shared" si="0"/>
        <v>423</v>
      </c>
      <c r="I21" s="117">
        <f t="shared" si="1"/>
        <v>0</v>
      </c>
      <c r="J21" s="117">
        <f t="shared" si="2"/>
        <v>0</v>
      </c>
      <c r="K21" s="117">
        <f t="shared" si="3"/>
        <v>88.83</v>
      </c>
      <c r="L21" s="117">
        <f t="shared" si="4"/>
        <v>88.83</v>
      </c>
      <c r="M21" s="60">
        <v>8</v>
      </c>
      <c r="N21" s="117">
        <f t="shared" si="13"/>
        <v>71.064</v>
      </c>
      <c r="O21" s="117">
        <f t="shared" si="14"/>
        <v>17.766</v>
      </c>
      <c r="P21" s="117">
        <v>-26.8872</v>
      </c>
      <c r="Q21" s="117">
        <f t="shared" si="7"/>
        <v>97.9512</v>
      </c>
      <c r="R21" s="63">
        <f t="shared" si="15"/>
        <v>97.9512</v>
      </c>
      <c r="S21" s="117"/>
    </row>
    <row r="22" s="1" customFormat="1" spans="1:19">
      <c r="A22" s="85"/>
      <c r="B22" s="82">
        <v>2</v>
      </c>
      <c r="C22" s="83" t="s">
        <v>193</v>
      </c>
      <c r="D22" s="86"/>
      <c r="E22" s="117">
        <v>0</v>
      </c>
      <c r="F22" s="117">
        <v>50</v>
      </c>
      <c r="G22" s="117">
        <v>2755</v>
      </c>
      <c r="H22" s="117">
        <f t="shared" si="0"/>
        <v>2805</v>
      </c>
      <c r="I22" s="117">
        <f t="shared" si="1"/>
        <v>0</v>
      </c>
      <c r="J22" s="117">
        <f t="shared" si="2"/>
        <v>16</v>
      </c>
      <c r="K22" s="117">
        <f t="shared" si="3"/>
        <v>578.55</v>
      </c>
      <c r="L22" s="117">
        <f t="shared" si="4"/>
        <v>594.55</v>
      </c>
      <c r="M22" s="60">
        <v>8</v>
      </c>
      <c r="N22" s="117">
        <f t="shared" si="13"/>
        <v>475.64</v>
      </c>
      <c r="O22" s="117">
        <f t="shared" si="14"/>
        <v>118.91</v>
      </c>
      <c r="P22" s="117">
        <v>263.082</v>
      </c>
      <c r="Q22" s="117">
        <f t="shared" si="7"/>
        <v>212.558</v>
      </c>
      <c r="R22" s="63">
        <f t="shared" si="15"/>
        <v>212.558</v>
      </c>
      <c r="S22" s="117"/>
    </row>
    <row r="23" s="1" customFormat="1" spans="1:19">
      <c r="A23" s="85"/>
      <c r="B23" s="82">
        <v>3</v>
      </c>
      <c r="C23" s="83" t="s">
        <v>194</v>
      </c>
      <c r="D23" s="86"/>
      <c r="E23" s="117">
        <v>0</v>
      </c>
      <c r="F23" s="117">
        <v>0</v>
      </c>
      <c r="G23" s="117">
        <f>581-1</f>
        <v>580</v>
      </c>
      <c r="H23" s="117">
        <f t="shared" si="0"/>
        <v>580</v>
      </c>
      <c r="I23" s="117">
        <f t="shared" si="1"/>
        <v>0</v>
      </c>
      <c r="J23" s="117">
        <f t="shared" si="2"/>
        <v>0</v>
      </c>
      <c r="K23" s="117">
        <f t="shared" si="3"/>
        <v>121.8</v>
      </c>
      <c r="L23" s="117">
        <f t="shared" si="4"/>
        <v>121.8</v>
      </c>
      <c r="M23" s="60">
        <v>8</v>
      </c>
      <c r="N23" s="117">
        <f t="shared" si="13"/>
        <v>97.44</v>
      </c>
      <c r="O23" s="117">
        <f t="shared" si="14"/>
        <v>24.36</v>
      </c>
      <c r="P23" s="117">
        <v>24.2214</v>
      </c>
      <c r="Q23" s="117">
        <f t="shared" si="7"/>
        <v>73.2186</v>
      </c>
      <c r="R23" s="63">
        <f t="shared" si="15"/>
        <v>73.2186</v>
      </c>
      <c r="S23" s="117"/>
    </row>
    <row r="24" s="1" customFormat="1" spans="1:19">
      <c r="A24" s="85"/>
      <c r="B24" s="82">
        <v>4</v>
      </c>
      <c r="C24" s="83" t="s">
        <v>195</v>
      </c>
      <c r="D24" s="87"/>
      <c r="E24" s="117">
        <v>0</v>
      </c>
      <c r="F24" s="117">
        <v>0</v>
      </c>
      <c r="G24" s="117">
        <v>55</v>
      </c>
      <c r="H24" s="117">
        <f t="shared" si="0"/>
        <v>55</v>
      </c>
      <c r="I24" s="117">
        <f t="shared" si="1"/>
        <v>0</v>
      </c>
      <c r="J24" s="117">
        <f t="shared" si="2"/>
        <v>0</v>
      </c>
      <c r="K24" s="117">
        <f t="shared" si="3"/>
        <v>11.55</v>
      </c>
      <c r="L24" s="117">
        <f t="shared" si="4"/>
        <v>11.55</v>
      </c>
      <c r="M24" s="60">
        <v>8</v>
      </c>
      <c r="N24" s="117">
        <f t="shared" si="13"/>
        <v>9.24</v>
      </c>
      <c r="O24" s="117">
        <f t="shared" si="14"/>
        <v>2.31</v>
      </c>
      <c r="P24" s="117">
        <v>0</v>
      </c>
      <c r="Q24" s="117">
        <f t="shared" si="7"/>
        <v>9.24</v>
      </c>
      <c r="R24" s="63">
        <f t="shared" si="15"/>
        <v>9.24</v>
      </c>
      <c r="S24" s="117"/>
    </row>
    <row r="25" s="1" customFormat="1" spans="1:19">
      <c r="A25" s="88"/>
      <c r="B25" s="89" t="s">
        <v>4</v>
      </c>
      <c r="C25" s="90"/>
      <c r="D25" s="91"/>
      <c r="E25" s="118">
        <f t="shared" ref="E25:G25" si="18">SUM(E21:E24)</f>
        <v>0</v>
      </c>
      <c r="F25" s="118">
        <f t="shared" si="18"/>
        <v>50</v>
      </c>
      <c r="G25" s="118">
        <f t="shared" si="18"/>
        <v>3813</v>
      </c>
      <c r="H25" s="118">
        <f t="shared" si="0"/>
        <v>3863</v>
      </c>
      <c r="I25" s="118">
        <f t="shared" si="1"/>
        <v>0</v>
      </c>
      <c r="J25" s="118">
        <f t="shared" si="2"/>
        <v>16</v>
      </c>
      <c r="K25" s="118">
        <f t="shared" si="3"/>
        <v>800.73</v>
      </c>
      <c r="L25" s="118">
        <f t="shared" si="4"/>
        <v>816.73</v>
      </c>
      <c r="M25" s="118"/>
      <c r="N25" s="118">
        <f t="shared" ref="N25:P25" si="19">SUM(N21:N24)</f>
        <v>653.384</v>
      </c>
      <c r="O25" s="118">
        <f t="shared" si="19"/>
        <v>163.346</v>
      </c>
      <c r="P25" s="118">
        <f t="shared" si="19"/>
        <v>260.4162</v>
      </c>
      <c r="Q25" s="118">
        <f t="shared" si="7"/>
        <v>392.9678</v>
      </c>
      <c r="R25" s="133">
        <f>SUM(R21:R24)</f>
        <v>392.9678</v>
      </c>
      <c r="S25" s="117"/>
    </row>
    <row r="26" s="1" customFormat="1" spans="1:19">
      <c r="A26" s="73" t="s">
        <v>196</v>
      </c>
      <c r="B26" s="74">
        <v>1</v>
      </c>
      <c r="C26" s="92" t="s">
        <v>197</v>
      </c>
      <c r="D26" s="73" t="s">
        <v>177</v>
      </c>
      <c r="E26" s="117">
        <v>0</v>
      </c>
      <c r="F26" s="117">
        <v>0</v>
      </c>
      <c r="G26" s="117">
        <f>2845-1</f>
        <v>2844</v>
      </c>
      <c r="H26" s="117">
        <f t="shared" si="0"/>
        <v>2844</v>
      </c>
      <c r="I26" s="117">
        <f t="shared" si="1"/>
        <v>0</v>
      </c>
      <c r="J26" s="117">
        <f t="shared" si="2"/>
        <v>0</v>
      </c>
      <c r="K26" s="117">
        <f t="shared" si="3"/>
        <v>597.24</v>
      </c>
      <c r="L26" s="117">
        <f t="shared" si="4"/>
        <v>597.24</v>
      </c>
      <c r="M26" s="60">
        <v>5</v>
      </c>
      <c r="N26" s="117">
        <f t="shared" ref="N26:N30" si="20">L26*M26*0.1</f>
        <v>298.62</v>
      </c>
      <c r="O26" s="117">
        <f t="shared" ref="O26:O57" si="21">L26-N26</f>
        <v>298.62</v>
      </c>
      <c r="P26" s="60">
        <v>0</v>
      </c>
      <c r="Q26" s="117">
        <f t="shared" si="7"/>
        <v>298.62</v>
      </c>
      <c r="R26" s="63">
        <f t="shared" ref="R26:R34" si="22">Q26</f>
        <v>298.62</v>
      </c>
      <c r="S26" s="117"/>
    </row>
    <row r="27" s="1" customFormat="1" spans="1:19">
      <c r="A27" s="76"/>
      <c r="B27" s="74">
        <v>2</v>
      </c>
      <c r="C27" s="92" t="s">
        <v>198</v>
      </c>
      <c r="D27" s="76"/>
      <c r="E27" s="117">
        <v>0</v>
      </c>
      <c r="F27" s="117">
        <v>0</v>
      </c>
      <c r="G27" s="117">
        <f>1571-1</f>
        <v>1570</v>
      </c>
      <c r="H27" s="117">
        <f t="shared" si="0"/>
        <v>1570</v>
      </c>
      <c r="I27" s="117">
        <f t="shared" si="1"/>
        <v>0</v>
      </c>
      <c r="J27" s="117">
        <f t="shared" si="2"/>
        <v>0</v>
      </c>
      <c r="K27" s="117">
        <f t="shared" si="3"/>
        <v>329.7</v>
      </c>
      <c r="L27" s="117">
        <f t="shared" si="4"/>
        <v>329.7</v>
      </c>
      <c r="M27" s="60">
        <v>5</v>
      </c>
      <c r="N27" s="117">
        <f t="shared" si="20"/>
        <v>164.85</v>
      </c>
      <c r="O27" s="117">
        <f t="shared" si="21"/>
        <v>164.85</v>
      </c>
      <c r="P27" s="117">
        <v>247.948</v>
      </c>
      <c r="Q27" s="117">
        <f t="shared" si="7"/>
        <v>-83.098</v>
      </c>
      <c r="R27" s="63">
        <v>0</v>
      </c>
      <c r="S27" s="117"/>
    </row>
    <row r="28" s="1" customFormat="1" spans="1:19">
      <c r="A28" s="76"/>
      <c r="B28" s="74">
        <v>3</v>
      </c>
      <c r="C28" s="92" t="s">
        <v>199</v>
      </c>
      <c r="D28" s="76"/>
      <c r="E28" s="117">
        <v>0</v>
      </c>
      <c r="F28" s="117">
        <v>0</v>
      </c>
      <c r="G28" s="117">
        <f>1425-1</f>
        <v>1424</v>
      </c>
      <c r="H28" s="117">
        <f t="shared" si="0"/>
        <v>1424</v>
      </c>
      <c r="I28" s="117">
        <f t="shared" si="1"/>
        <v>0</v>
      </c>
      <c r="J28" s="117">
        <f t="shared" si="2"/>
        <v>0</v>
      </c>
      <c r="K28" s="117">
        <f t="shared" si="3"/>
        <v>299.04</v>
      </c>
      <c r="L28" s="117">
        <f t="shared" si="4"/>
        <v>299.04</v>
      </c>
      <c r="M28" s="60">
        <v>5</v>
      </c>
      <c r="N28" s="117">
        <f t="shared" si="20"/>
        <v>149.52</v>
      </c>
      <c r="O28" s="117">
        <f t="shared" si="21"/>
        <v>149.52</v>
      </c>
      <c r="P28" s="117">
        <v>222.263</v>
      </c>
      <c r="Q28" s="117">
        <f t="shared" si="7"/>
        <v>-72.743</v>
      </c>
      <c r="R28" s="63">
        <v>0</v>
      </c>
      <c r="S28" s="117"/>
    </row>
    <row r="29" s="1" customFormat="1" spans="1:19">
      <c r="A29" s="76"/>
      <c r="B29" s="74">
        <v>4</v>
      </c>
      <c r="C29" s="92" t="s">
        <v>200</v>
      </c>
      <c r="D29" s="76"/>
      <c r="E29" s="117">
        <v>0</v>
      </c>
      <c r="F29" s="117">
        <v>0</v>
      </c>
      <c r="G29" s="117">
        <v>3448</v>
      </c>
      <c r="H29" s="117">
        <f t="shared" si="0"/>
        <v>3448</v>
      </c>
      <c r="I29" s="117">
        <f t="shared" si="1"/>
        <v>0</v>
      </c>
      <c r="J29" s="117">
        <f t="shared" si="2"/>
        <v>0</v>
      </c>
      <c r="K29" s="117">
        <f t="shared" si="3"/>
        <v>724.08</v>
      </c>
      <c r="L29" s="117">
        <f t="shared" si="4"/>
        <v>724.08</v>
      </c>
      <c r="M29" s="60">
        <v>5</v>
      </c>
      <c r="N29" s="117">
        <f t="shared" si="20"/>
        <v>362.04</v>
      </c>
      <c r="O29" s="117">
        <f t="shared" si="21"/>
        <v>362.04</v>
      </c>
      <c r="P29" s="117">
        <v>315.948</v>
      </c>
      <c r="Q29" s="117">
        <f t="shared" si="7"/>
        <v>46.092</v>
      </c>
      <c r="R29" s="63">
        <f t="shared" si="22"/>
        <v>46.092</v>
      </c>
      <c r="S29" s="117"/>
    </row>
    <row r="30" s="1" customFormat="1" spans="1:19">
      <c r="A30" s="76"/>
      <c r="B30" s="74">
        <v>5</v>
      </c>
      <c r="C30" s="92" t="s">
        <v>201</v>
      </c>
      <c r="D30" s="77"/>
      <c r="E30" s="117">
        <v>0</v>
      </c>
      <c r="F30" s="117">
        <v>0</v>
      </c>
      <c r="G30" s="117">
        <f>1998-1</f>
        <v>1997</v>
      </c>
      <c r="H30" s="117">
        <f t="shared" si="0"/>
        <v>1997</v>
      </c>
      <c r="I30" s="117">
        <f t="shared" si="1"/>
        <v>0</v>
      </c>
      <c r="J30" s="117">
        <f t="shared" si="2"/>
        <v>0</v>
      </c>
      <c r="K30" s="117">
        <f t="shared" si="3"/>
        <v>419.37</v>
      </c>
      <c r="L30" s="117">
        <f t="shared" si="4"/>
        <v>419.37</v>
      </c>
      <c r="M30" s="60">
        <v>5</v>
      </c>
      <c r="N30" s="117">
        <f t="shared" si="20"/>
        <v>209.685</v>
      </c>
      <c r="O30" s="117">
        <f t="shared" si="21"/>
        <v>209.685</v>
      </c>
      <c r="P30" s="117">
        <v>-82.393</v>
      </c>
      <c r="Q30" s="117">
        <f t="shared" si="7"/>
        <v>292.078</v>
      </c>
      <c r="R30" s="63">
        <f t="shared" si="22"/>
        <v>292.078</v>
      </c>
      <c r="S30" s="117"/>
    </row>
    <row r="31" s="1" customFormat="1" spans="1:19">
      <c r="A31" s="76"/>
      <c r="B31" s="93" t="s">
        <v>202</v>
      </c>
      <c r="C31" s="94"/>
      <c r="D31" s="95"/>
      <c r="E31" s="117">
        <f t="shared" ref="E31:H31" si="23">SUM(E26:E30)</f>
        <v>0</v>
      </c>
      <c r="F31" s="117">
        <f t="shared" si="23"/>
        <v>0</v>
      </c>
      <c r="G31" s="117">
        <f t="shared" si="23"/>
        <v>11283</v>
      </c>
      <c r="H31" s="117">
        <f t="shared" si="23"/>
        <v>11283</v>
      </c>
      <c r="I31" s="117">
        <f t="shared" si="1"/>
        <v>0</v>
      </c>
      <c r="J31" s="117">
        <f t="shared" si="2"/>
        <v>0</v>
      </c>
      <c r="K31" s="117">
        <f t="shared" si="3"/>
        <v>2369.43</v>
      </c>
      <c r="L31" s="117">
        <f t="shared" si="4"/>
        <v>2369.43</v>
      </c>
      <c r="M31" s="117"/>
      <c r="N31" s="117">
        <f>SUM(N26:N30)</f>
        <v>1184.715</v>
      </c>
      <c r="O31" s="117">
        <f t="shared" si="21"/>
        <v>1184.715</v>
      </c>
      <c r="P31" s="117">
        <f>SUM(P26:P30)</f>
        <v>703.766</v>
      </c>
      <c r="Q31" s="117">
        <f t="shared" si="7"/>
        <v>480.949</v>
      </c>
      <c r="R31" s="63">
        <f t="shared" si="22"/>
        <v>480.949</v>
      </c>
      <c r="S31" s="117"/>
    </row>
    <row r="32" s="1" customFormat="1" spans="1:19">
      <c r="A32" s="76"/>
      <c r="B32" s="74">
        <v>6</v>
      </c>
      <c r="C32" s="92" t="s">
        <v>203</v>
      </c>
      <c r="D32" s="73" t="s">
        <v>54</v>
      </c>
      <c r="E32" s="117">
        <v>0</v>
      </c>
      <c r="F32" s="117">
        <v>0</v>
      </c>
      <c r="G32" s="117">
        <v>2359</v>
      </c>
      <c r="H32" s="117">
        <f t="shared" ref="H32:H38" si="24">E32+F32+G32</f>
        <v>2359</v>
      </c>
      <c r="I32" s="117">
        <f t="shared" si="1"/>
        <v>0</v>
      </c>
      <c r="J32" s="117">
        <f t="shared" si="2"/>
        <v>0</v>
      </c>
      <c r="K32" s="117">
        <f t="shared" si="3"/>
        <v>495.39</v>
      </c>
      <c r="L32" s="117">
        <f t="shared" si="4"/>
        <v>495.39</v>
      </c>
      <c r="M32" s="60">
        <v>6</v>
      </c>
      <c r="N32" s="117">
        <f t="shared" ref="N32:N38" si="25">L32*M32*0.1</f>
        <v>297.234</v>
      </c>
      <c r="O32" s="117">
        <f t="shared" si="21"/>
        <v>198.156</v>
      </c>
      <c r="P32" s="117">
        <v>72.1068</v>
      </c>
      <c r="Q32" s="117">
        <f t="shared" si="7"/>
        <v>225.1272</v>
      </c>
      <c r="R32" s="63">
        <f t="shared" si="22"/>
        <v>225.1272</v>
      </c>
      <c r="S32" s="117"/>
    </row>
    <row r="33" s="1" customFormat="1" spans="1:19">
      <c r="A33" s="76"/>
      <c r="B33" s="74">
        <v>7</v>
      </c>
      <c r="C33" s="92" t="s">
        <v>204</v>
      </c>
      <c r="D33" s="77"/>
      <c r="E33" s="117">
        <v>0</v>
      </c>
      <c r="F33" s="117">
        <v>0</v>
      </c>
      <c r="G33" s="117">
        <f>1277-4</f>
        <v>1273</v>
      </c>
      <c r="H33" s="117">
        <f t="shared" si="24"/>
        <v>1273</v>
      </c>
      <c r="I33" s="117">
        <f t="shared" si="1"/>
        <v>0</v>
      </c>
      <c r="J33" s="117">
        <f t="shared" si="2"/>
        <v>0</v>
      </c>
      <c r="K33" s="117">
        <f t="shared" si="3"/>
        <v>267.33</v>
      </c>
      <c r="L33" s="117">
        <f t="shared" si="4"/>
        <v>267.33</v>
      </c>
      <c r="M33" s="60">
        <v>6</v>
      </c>
      <c r="N33" s="117">
        <f t="shared" si="25"/>
        <v>160.398</v>
      </c>
      <c r="O33" s="117">
        <f t="shared" si="21"/>
        <v>106.932</v>
      </c>
      <c r="P33" s="60">
        <v>0</v>
      </c>
      <c r="Q33" s="117">
        <f t="shared" si="7"/>
        <v>160.398</v>
      </c>
      <c r="R33" s="63">
        <f t="shared" si="22"/>
        <v>160.398</v>
      </c>
      <c r="S33" s="117"/>
    </row>
    <row r="34" s="1" customFormat="1" spans="1:19">
      <c r="A34" s="76"/>
      <c r="B34" s="96"/>
      <c r="C34" s="93" t="s">
        <v>205</v>
      </c>
      <c r="D34" s="95"/>
      <c r="E34" s="117">
        <f t="shared" ref="E34:G34" si="26">SUM(E32:E33)</f>
        <v>0</v>
      </c>
      <c r="F34" s="117">
        <f t="shared" si="26"/>
        <v>0</v>
      </c>
      <c r="G34" s="117">
        <f t="shared" si="26"/>
        <v>3632</v>
      </c>
      <c r="H34" s="117">
        <f t="shared" si="24"/>
        <v>3632</v>
      </c>
      <c r="I34" s="117">
        <f t="shared" si="1"/>
        <v>0</v>
      </c>
      <c r="J34" s="117">
        <f t="shared" si="2"/>
        <v>0</v>
      </c>
      <c r="K34" s="117">
        <f t="shared" si="3"/>
        <v>762.72</v>
      </c>
      <c r="L34" s="117">
        <f t="shared" si="4"/>
        <v>762.72</v>
      </c>
      <c r="M34" s="117"/>
      <c r="N34" s="117">
        <f>SUM(N32:N33)</f>
        <v>457.632</v>
      </c>
      <c r="O34" s="117">
        <f t="shared" si="21"/>
        <v>305.088</v>
      </c>
      <c r="P34" s="117">
        <f>SUM(P32:P33)</f>
        <v>72.1068</v>
      </c>
      <c r="Q34" s="117">
        <f t="shared" si="7"/>
        <v>385.5252</v>
      </c>
      <c r="R34" s="63">
        <f t="shared" si="22"/>
        <v>385.5252</v>
      </c>
      <c r="S34" s="117"/>
    </row>
    <row r="35" s="1" customFormat="1" spans="1:19">
      <c r="A35" s="77"/>
      <c r="B35" s="97" t="s">
        <v>4</v>
      </c>
      <c r="C35" s="98"/>
      <c r="D35" s="96"/>
      <c r="E35" s="118">
        <f t="shared" ref="E35:G35" si="27">E31+E34</f>
        <v>0</v>
      </c>
      <c r="F35" s="118">
        <f t="shared" si="27"/>
        <v>0</v>
      </c>
      <c r="G35" s="118">
        <f t="shared" si="27"/>
        <v>14915</v>
      </c>
      <c r="H35" s="118">
        <f t="shared" si="24"/>
        <v>14915</v>
      </c>
      <c r="I35" s="118">
        <f t="shared" si="1"/>
        <v>0</v>
      </c>
      <c r="J35" s="118">
        <f t="shared" si="2"/>
        <v>0</v>
      </c>
      <c r="K35" s="118">
        <f t="shared" si="3"/>
        <v>3132.15</v>
      </c>
      <c r="L35" s="118">
        <f t="shared" si="4"/>
        <v>3132.15</v>
      </c>
      <c r="M35" s="118"/>
      <c r="N35" s="118">
        <f>N31+N34</f>
        <v>1642.347</v>
      </c>
      <c r="O35" s="118">
        <f t="shared" si="21"/>
        <v>1489.803</v>
      </c>
      <c r="P35" s="118">
        <f>P34+P31</f>
        <v>775.8728</v>
      </c>
      <c r="Q35" s="118">
        <f t="shared" si="7"/>
        <v>866.4742</v>
      </c>
      <c r="R35" s="133">
        <f>481+386</f>
        <v>867</v>
      </c>
      <c r="S35" s="117"/>
    </row>
    <row r="36" s="1" customFormat="1" spans="1:19">
      <c r="A36" s="99" t="s">
        <v>206</v>
      </c>
      <c r="B36" s="100">
        <v>1</v>
      </c>
      <c r="C36" s="101" t="s">
        <v>207</v>
      </c>
      <c r="D36" s="100" t="s">
        <v>177</v>
      </c>
      <c r="E36" s="117">
        <v>0</v>
      </c>
      <c r="F36" s="117">
        <v>118</v>
      </c>
      <c r="G36" s="117">
        <v>3989</v>
      </c>
      <c r="H36" s="117">
        <f t="shared" si="24"/>
        <v>4107</v>
      </c>
      <c r="I36" s="117">
        <f t="shared" si="1"/>
        <v>0</v>
      </c>
      <c r="J36" s="117">
        <f t="shared" si="2"/>
        <v>37.76</v>
      </c>
      <c r="K36" s="117">
        <f t="shared" si="3"/>
        <v>837.69</v>
      </c>
      <c r="L36" s="117">
        <f t="shared" si="4"/>
        <v>875.45</v>
      </c>
      <c r="M36" s="60">
        <v>5</v>
      </c>
      <c r="N36" s="117">
        <f t="shared" si="25"/>
        <v>437.725</v>
      </c>
      <c r="O36" s="117">
        <f t="shared" si="21"/>
        <v>437.725</v>
      </c>
      <c r="P36" s="60">
        <v>0</v>
      </c>
      <c r="Q36" s="117">
        <f t="shared" si="7"/>
        <v>437.725</v>
      </c>
      <c r="R36" s="63">
        <f t="shared" ref="R36:R38" si="28">Q36</f>
        <v>437.725</v>
      </c>
      <c r="S36" s="117"/>
    </row>
    <row r="37" s="1" customFormat="1" spans="1:19">
      <c r="A37" s="102"/>
      <c r="B37" s="100">
        <v>2</v>
      </c>
      <c r="C37" s="101" t="s">
        <v>208</v>
      </c>
      <c r="D37" s="100" t="s">
        <v>147</v>
      </c>
      <c r="E37" s="117">
        <v>0</v>
      </c>
      <c r="F37" s="117">
        <v>63</v>
      </c>
      <c r="G37" s="117">
        <v>5389</v>
      </c>
      <c r="H37" s="117">
        <f t="shared" si="24"/>
        <v>5452</v>
      </c>
      <c r="I37" s="117">
        <f t="shared" si="1"/>
        <v>0</v>
      </c>
      <c r="J37" s="117">
        <f t="shared" si="2"/>
        <v>20.16</v>
      </c>
      <c r="K37" s="117">
        <f t="shared" si="3"/>
        <v>1131.69</v>
      </c>
      <c r="L37" s="117">
        <f t="shared" si="4"/>
        <v>1151.85</v>
      </c>
      <c r="M37" s="60">
        <v>5</v>
      </c>
      <c r="N37" s="117">
        <f t="shared" si="25"/>
        <v>575.925</v>
      </c>
      <c r="O37" s="117">
        <f t="shared" si="21"/>
        <v>575.925</v>
      </c>
      <c r="P37" s="60">
        <v>0</v>
      </c>
      <c r="Q37" s="117">
        <f t="shared" si="7"/>
        <v>575.925</v>
      </c>
      <c r="R37" s="63">
        <f t="shared" si="28"/>
        <v>575.925</v>
      </c>
      <c r="S37" s="117"/>
    </row>
    <row r="38" s="1" customFormat="1" spans="1:19">
      <c r="A38" s="102"/>
      <c r="B38" s="100">
        <v>3</v>
      </c>
      <c r="C38" s="101" t="s">
        <v>209</v>
      </c>
      <c r="D38" s="100" t="s">
        <v>71</v>
      </c>
      <c r="E38" s="117">
        <v>0</v>
      </c>
      <c r="F38" s="117">
        <v>0</v>
      </c>
      <c r="G38" s="117">
        <v>175</v>
      </c>
      <c r="H38" s="117">
        <f t="shared" si="24"/>
        <v>175</v>
      </c>
      <c r="I38" s="117">
        <f t="shared" si="1"/>
        <v>0</v>
      </c>
      <c r="J38" s="117">
        <f t="shared" si="2"/>
        <v>0</v>
      </c>
      <c r="K38" s="117">
        <f t="shared" si="3"/>
        <v>36.75</v>
      </c>
      <c r="L38" s="117">
        <f t="shared" si="4"/>
        <v>36.75</v>
      </c>
      <c r="M38" s="60">
        <v>8.5</v>
      </c>
      <c r="N38" s="117">
        <f t="shared" si="25"/>
        <v>31.2375</v>
      </c>
      <c r="O38" s="117">
        <f t="shared" si="21"/>
        <v>5.5125</v>
      </c>
      <c r="P38" s="60">
        <v>0</v>
      </c>
      <c r="Q38" s="117">
        <f t="shared" si="7"/>
        <v>31.2375</v>
      </c>
      <c r="R38" s="63">
        <f t="shared" si="28"/>
        <v>31.2375</v>
      </c>
      <c r="S38" s="117"/>
    </row>
    <row r="39" s="1" customFormat="1" spans="1:19">
      <c r="A39" s="102"/>
      <c r="B39" s="103" t="s">
        <v>4</v>
      </c>
      <c r="C39" s="104"/>
      <c r="D39" s="105"/>
      <c r="E39" s="118">
        <f>SUM(E35:E38)</f>
        <v>0</v>
      </c>
      <c r="F39" s="118">
        <f t="shared" ref="F39:H39" si="29">SUM(F36:F38)</f>
        <v>181</v>
      </c>
      <c r="G39" s="118">
        <f t="shared" si="29"/>
        <v>9553</v>
      </c>
      <c r="H39" s="118">
        <f t="shared" si="29"/>
        <v>9734</v>
      </c>
      <c r="I39" s="118">
        <f t="shared" si="1"/>
        <v>0</v>
      </c>
      <c r="J39" s="118">
        <f t="shared" si="2"/>
        <v>57.92</v>
      </c>
      <c r="K39" s="118">
        <f t="shared" si="3"/>
        <v>2006.13</v>
      </c>
      <c r="L39" s="118">
        <f t="shared" si="4"/>
        <v>2064.05</v>
      </c>
      <c r="M39" s="118"/>
      <c r="N39" s="118">
        <f t="shared" ref="N39:R39" si="30">SUM(N36:N38)</f>
        <v>1044.8875</v>
      </c>
      <c r="O39" s="118">
        <f t="shared" si="21"/>
        <v>1019.1625</v>
      </c>
      <c r="P39" s="126">
        <f t="shared" si="30"/>
        <v>0</v>
      </c>
      <c r="Q39" s="118">
        <f t="shared" si="7"/>
        <v>1044.8875</v>
      </c>
      <c r="R39" s="133">
        <f t="shared" si="30"/>
        <v>1044.8875</v>
      </c>
      <c r="S39" s="117"/>
    </row>
    <row r="40" s="1" customFormat="1" spans="1:20">
      <c r="A40" s="81" t="s">
        <v>210</v>
      </c>
      <c r="B40" s="71">
        <v>1</v>
      </c>
      <c r="C40" s="71" t="s">
        <v>211</v>
      </c>
      <c r="D40" s="81" t="s">
        <v>177</v>
      </c>
      <c r="E40" s="117">
        <v>0</v>
      </c>
      <c r="F40" s="117">
        <v>91</v>
      </c>
      <c r="G40" s="117">
        <f>3315-2</f>
        <v>3313</v>
      </c>
      <c r="H40" s="117">
        <f t="shared" ref="H40:H44" si="31">E40+F40+G40</f>
        <v>3404</v>
      </c>
      <c r="I40" s="117">
        <f t="shared" si="1"/>
        <v>0</v>
      </c>
      <c r="J40" s="117">
        <f t="shared" si="2"/>
        <v>29.12</v>
      </c>
      <c r="K40" s="117">
        <f t="shared" si="3"/>
        <v>695.73</v>
      </c>
      <c r="L40" s="117">
        <f t="shared" si="4"/>
        <v>724.85</v>
      </c>
      <c r="M40" s="60">
        <v>8</v>
      </c>
      <c r="N40" s="117">
        <f t="shared" ref="N40:N43" si="32">L40*M40*0.1</f>
        <v>579.88</v>
      </c>
      <c r="O40" s="117">
        <f t="shared" si="21"/>
        <v>144.97</v>
      </c>
      <c r="P40" s="117">
        <v>-136.9384</v>
      </c>
      <c r="Q40" s="117">
        <f t="shared" si="7"/>
        <v>716.8184</v>
      </c>
      <c r="R40" s="63">
        <f t="shared" ref="R40:R45" si="33">Q40</f>
        <v>716.8184</v>
      </c>
      <c r="S40" s="117"/>
      <c r="T40" s="56"/>
    </row>
    <row r="41" s="1" customFormat="1" spans="1:20">
      <c r="A41" s="85"/>
      <c r="B41" s="71">
        <v>2</v>
      </c>
      <c r="C41" s="71" t="s">
        <v>212</v>
      </c>
      <c r="D41" s="88"/>
      <c r="E41" s="117">
        <v>0</v>
      </c>
      <c r="F41" s="117">
        <v>9</v>
      </c>
      <c r="G41" s="117">
        <v>1015</v>
      </c>
      <c r="H41" s="117">
        <f t="shared" si="31"/>
        <v>1024</v>
      </c>
      <c r="I41" s="117">
        <f t="shared" si="1"/>
        <v>0</v>
      </c>
      <c r="J41" s="117">
        <f t="shared" si="2"/>
        <v>2.88</v>
      </c>
      <c r="K41" s="117">
        <f t="shared" si="3"/>
        <v>213.15</v>
      </c>
      <c r="L41" s="117">
        <f t="shared" si="4"/>
        <v>216.03</v>
      </c>
      <c r="M41" s="60">
        <v>8</v>
      </c>
      <c r="N41" s="117">
        <f t="shared" si="32"/>
        <v>172.824</v>
      </c>
      <c r="O41" s="117">
        <f t="shared" si="21"/>
        <v>43.206</v>
      </c>
      <c r="P41" s="117">
        <v>-30.976</v>
      </c>
      <c r="Q41" s="117">
        <f t="shared" si="7"/>
        <v>203.8</v>
      </c>
      <c r="R41" s="63">
        <f t="shared" si="33"/>
        <v>203.8</v>
      </c>
      <c r="S41" s="117"/>
      <c r="T41" s="56"/>
    </row>
    <row r="42" s="1" customFormat="1" spans="1:20">
      <c r="A42" s="85"/>
      <c r="B42" s="82" t="s">
        <v>202</v>
      </c>
      <c r="C42" s="106"/>
      <c r="D42" s="107"/>
      <c r="E42" s="117">
        <f t="shared" ref="E42:G42" si="34">SUM(E40:E41)</f>
        <v>0</v>
      </c>
      <c r="F42" s="117">
        <f t="shared" si="34"/>
        <v>100</v>
      </c>
      <c r="G42" s="117">
        <f t="shared" si="34"/>
        <v>4328</v>
      </c>
      <c r="H42" s="117">
        <f t="shared" si="31"/>
        <v>4428</v>
      </c>
      <c r="I42" s="117">
        <f t="shared" si="1"/>
        <v>0</v>
      </c>
      <c r="J42" s="117">
        <f t="shared" si="2"/>
        <v>32</v>
      </c>
      <c r="K42" s="117">
        <f t="shared" si="3"/>
        <v>908.88</v>
      </c>
      <c r="L42" s="117">
        <f t="shared" si="4"/>
        <v>940.88</v>
      </c>
      <c r="M42" s="60"/>
      <c r="N42" s="117">
        <f>SUM(N40:N41)</f>
        <v>752.704</v>
      </c>
      <c r="O42" s="117">
        <f t="shared" si="21"/>
        <v>188.176</v>
      </c>
      <c r="P42" s="118">
        <f>SUM(P40:P41)</f>
        <v>-167.9144</v>
      </c>
      <c r="Q42" s="117">
        <f t="shared" si="7"/>
        <v>920.6184</v>
      </c>
      <c r="R42" s="63">
        <f t="shared" si="33"/>
        <v>920.6184</v>
      </c>
      <c r="S42" s="117"/>
      <c r="T42" s="135"/>
    </row>
    <row r="43" s="1" customFormat="1" spans="1:20">
      <c r="A43" s="85"/>
      <c r="B43" s="71">
        <v>3</v>
      </c>
      <c r="C43" s="71" t="s">
        <v>213</v>
      </c>
      <c r="D43" s="81" t="s">
        <v>86</v>
      </c>
      <c r="E43" s="117">
        <v>0</v>
      </c>
      <c r="F43" s="117">
        <v>0</v>
      </c>
      <c r="G43" s="117">
        <v>829</v>
      </c>
      <c r="H43" s="117">
        <f t="shared" si="31"/>
        <v>829</v>
      </c>
      <c r="I43" s="117">
        <f t="shared" si="1"/>
        <v>0</v>
      </c>
      <c r="J43" s="117">
        <f t="shared" si="2"/>
        <v>0</v>
      </c>
      <c r="K43" s="117">
        <f t="shared" si="3"/>
        <v>174.09</v>
      </c>
      <c r="L43" s="117">
        <f t="shared" si="4"/>
        <v>174.09</v>
      </c>
      <c r="M43" s="60">
        <v>8.5</v>
      </c>
      <c r="N43" s="117">
        <f t="shared" si="32"/>
        <v>147.9765</v>
      </c>
      <c r="O43" s="117">
        <f t="shared" si="21"/>
        <v>26.1135</v>
      </c>
      <c r="P43" s="117">
        <v>43.2786</v>
      </c>
      <c r="Q43" s="117">
        <f t="shared" si="7"/>
        <v>104.6979</v>
      </c>
      <c r="R43" s="63">
        <f t="shared" si="33"/>
        <v>104.6979</v>
      </c>
      <c r="S43" s="117"/>
      <c r="T43" s="56"/>
    </row>
    <row r="44" s="1" customFormat="1" spans="1:20">
      <c r="A44" s="85"/>
      <c r="B44" s="71">
        <v>4</v>
      </c>
      <c r="C44" s="71" t="s">
        <v>214</v>
      </c>
      <c r="D44" s="88"/>
      <c r="E44" s="117">
        <v>19</v>
      </c>
      <c r="F44" s="117">
        <v>0</v>
      </c>
      <c r="G44" s="117">
        <v>623</v>
      </c>
      <c r="H44" s="117">
        <f t="shared" si="31"/>
        <v>642</v>
      </c>
      <c r="I44" s="117">
        <f t="shared" si="1"/>
        <v>4.56</v>
      </c>
      <c r="J44" s="117">
        <f t="shared" si="2"/>
        <v>0</v>
      </c>
      <c r="K44" s="117">
        <f t="shared" si="3"/>
        <v>130.83</v>
      </c>
      <c r="L44" s="117">
        <f t="shared" si="4"/>
        <v>135.39</v>
      </c>
      <c r="M44" s="60">
        <v>8.5</v>
      </c>
      <c r="N44" s="117">
        <f>(K44+J44)*M44*0.1+I44</f>
        <v>115.7655</v>
      </c>
      <c r="O44" s="117">
        <f t="shared" si="21"/>
        <v>19.6245</v>
      </c>
      <c r="P44" s="117">
        <v>2.9448</v>
      </c>
      <c r="Q44" s="117">
        <f t="shared" si="7"/>
        <v>112.8207</v>
      </c>
      <c r="R44" s="63">
        <f t="shared" si="33"/>
        <v>112.8207</v>
      </c>
      <c r="S44" s="117"/>
      <c r="T44" s="56"/>
    </row>
    <row r="45" s="1" customFormat="1" spans="1:20">
      <c r="A45" s="85"/>
      <c r="B45" s="89" t="s">
        <v>215</v>
      </c>
      <c r="C45" s="90"/>
      <c r="D45" s="91"/>
      <c r="E45" s="117">
        <f t="shared" ref="E45:H45" si="35">SUM(E43:E44)</f>
        <v>19</v>
      </c>
      <c r="F45" s="117">
        <f t="shared" si="35"/>
        <v>0</v>
      </c>
      <c r="G45" s="117">
        <f t="shared" si="35"/>
        <v>1452</v>
      </c>
      <c r="H45" s="117">
        <f t="shared" si="35"/>
        <v>1471</v>
      </c>
      <c r="I45" s="117">
        <f t="shared" si="1"/>
        <v>4.56</v>
      </c>
      <c r="J45" s="117">
        <f t="shared" si="2"/>
        <v>0</v>
      </c>
      <c r="K45" s="117">
        <f t="shared" si="3"/>
        <v>304.92</v>
      </c>
      <c r="L45" s="117">
        <f t="shared" si="4"/>
        <v>309.48</v>
      </c>
      <c r="M45" s="117"/>
      <c r="N45" s="117">
        <f>SUM(N43:N44)</f>
        <v>263.742</v>
      </c>
      <c r="O45" s="117">
        <f t="shared" si="21"/>
        <v>45.738</v>
      </c>
      <c r="P45" s="118">
        <f>SUM(P43:P44)</f>
        <v>46.2234</v>
      </c>
      <c r="Q45" s="117">
        <f t="shared" si="7"/>
        <v>217.5186</v>
      </c>
      <c r="R45" s="63">
        <f t="shared" si="33"/>
        <v>217.5186</v>
      </c>
      <c r="S45" s="117"/>
      <c r="T45" s="135"/>
    </row>
    <row r="46" s="1" customFormat="1" spans="1:19">
      <c r="A46" s="85"/>
      <c r="B46" s="108" t="s">
        <v>4</v>
      </c>
      <c r="C46" s="109"/>
      <c r="D46" s="110"/>
      <c r="E46" s="118">
        <f t="shared" ref="E46:G46" si="36">E42+E45</f>
        <v>19</v>
      </c>
      <c r="F46" s="118">
        <f t="shared" si="36"/>
        <v>100</v>
      </c>
      <c r="G46" s="118">
        <f t="shared" si="36"/>
        <v>5780</v>
      </c>
      <c r="H46" s="118">
        <f t="shared" ref="H46:H57" si="37">E46+F46+G46</f>
        <v>5899</v>
      </c>
      <c r="I46" s="118">
        <f t="shared" si="1"/>
        <v>4.56</v>
      </c>
      <c r="J46" s="118">
        <f t="shared" si="2"/>
        <v>32</v>
      </c>
      <c r="K46" s="118">
        <f t="shared" si="3"/>
        <v>1213.8</v>
      </c>
      <c r="L46" s="118">
        <f t="shared" si="4"/>
        <v>1250.36</v>
      </c>
      <c r="M46" s="126">
        <v>6</v>
      </c>
      <c r="N46" s="118">
        <f>N42+N45</f>
        <v>1016.446</v>
      </c>
      <c r="O46" s="118">
        <f t="shared" si="21"/>
        <v>233.914</v>
      </c>
      <c r="P46" s="118">
        <f>P42+P45</f>
        <v>-121.691</v>
      </c>
      <c r="Q46" s="118">
        <f t="shared" si="7"/>
        <v>1138.137</v>
      </c>
      <c r="R46" s="133">
        <f>921+218</f>
        <v>1139</v>
      </c>
      <c r="S46" s="117"/>
    </row>
    <row r="47" s="1" customFormat="1" spans="1:19">
      <c r="A47" s="81" t="s">
        <v>216</v>
      </c>
      <c r="B47" s="71">
        <v>1</v>
      </c>
      <c r="C47" s="82" t="s">
        <v>217</v>
      </c>
      <c r="D47" s="81" t="s">
        <v>218</v>
      </c>
      <c r="E47" s="117">
        <v>0</v>
      </c>
      <c r="F47" s="117">
        <v>876</v>
      </c>
      <c r="G47" s="117">
        <f>11437-1</f>
        <v>11436</v>
      </c>
      <c r="H47" s="117">
        <f t="shared" si="37"/>
        <v>12312</v>
      </c>
      <c r="I47" s="117">
        <f t="shared" si="1"/>
        <v>0</v>
      </c>
      <c r="J47" s="117">
        <f t="shared" si="2"/>
        <v>280.32</v>
      </c>
      <c r="K47" s="117">
        <f t="shared" si="3"/>
        <v>2401.56</v>
      </c>
      <c r="L47" s="117">
        <f t="shared" si="4"/>
        <v>2681.88</v>
      </c>
      <c r="M47" s="60">
        <v>6</v>
      </c>
      <c r="N47" s="117">
        <f t="shared" ref="N47:N51" si="38">L47*M47*0.1</f>
        <v>1609.128</v>
      </c>
      <c r="O47" s="117">
        <f t="shared" si="21"/>
        <v>1072.752</v>
      </c>
      <c r="P47" s="60">
        <v>0</v>
      </c>
      <c r="Q47" s="117">
        <f t="shared" si="7"/>
        <v>1609.128</v>
      </c>
      <c r="R47" s="63">
        <f t="shared" ref="R47:R51" si="39">Q47</f>
        <v>1609.128</v>
      </c>
      <c r="S47" s="117"/>
    </row>
    <row r="48" s="1" customFormat="1" spans="1:19">
      <c r="A48" s="85"/>
      <c r="B48" s="71">
        <v>2</v>
      </c>
      <c r="C48" s="82" t="s">
        <v>219</v>
      </c>
      <c r="D48" s="85"/>
      <c r="E48" s="117">
        <v>0</v>
      </c>
      <c r="F48" s="117">
        <v>0</v>
      </c>
      <c r="G48" s="117">
        <v>1439</v>
      </c>
      <c r="H48" s="117">
        <f t="shared" si="37"/>
        <v>1439</v>
      </c>
      <c r="I48" s="117">
        <f t="shared" si="1"/>
        <v>0</v>
      </c>
      <c r="J48" s="117">
        <f t="shared" si="2"/>
        <v>0</v>
      </c>
      <c r="K48" s="117">
        <f t="shared" si="3"/>
        <v>302.19</v>
      </c>
      <c r="L48" s="117">
        <f t="shared" si="4"/>
        <v>302.19</v>
      </c>
      <c r="M48" s="60">
        <v>6</v>
      </c>
      <c r="N48" s="117">
        <f t="shared" si="38"/>
        <v>181.314</v>
      </c>
      <c r="O48" s="117">
        <f t="shared" si="21"/>
        <v>120.876</v>
      </c>
      <c r="P48" s="60">
        <v>60.354</v>
      </c>
      <c r="Q48" s="117">
        <f t="shared" si="7"/>
        <v>120.96</v>
      </c>
      <c r="R48" s="63">
        <f t="shared" si="39"/>
        <v>120.96</v>
      </c>
      <c r="S48" s="117"/>
    </row>
    <row r="49" s="1" customFormat="1" spans="1:19">
      <c r="A49" s="85"/>
      <c r="B49" s="71">
        <v>3</v>
      </c>
      <c r="C49" s="82" t="s">
        <v>220</v>
      </c>
      <c r="D49" s="85"/>
      <c r="E49" s="117">
        <v>0</v>
      </c>
      <c r="F49" s="117">
        <v>0</v>
      </c>
      <c r="G49" s="117">
        <v>226</v>
      </c>
      <c r="H49" s="117">
        <f t="shared" si="37"/>
        <v>226</v>
      </c>
      <c r="I49" s="117">
        <f t="shared" si="1"/>
        <v>0</v>
      </c>
      <c r="J49" s="117">
        <f t="shared" si="2"/>
        <v>0</v>
      </c>
      <c r="K49" s="117">
        <f t="shared" si="3"/>
        <v>47.46</v>
      </c>
      <c r="L49" s="117">
        <f t="shared" si="4"/>
        <v>47.46</v>
      </c>
      <c r="M49" s="60">
        <v>6</v>
      </c>
      <c r="N49" s="117">
        <f t="shared" si="38"/>
        <v>28.476</v>
      </c>
      <c r="O49" s="117">
        <f t="shared" si="21"/>
        <v>18.984</v>
      </c>
      <c r="P49" s="60">
        <v>11.516</v>
      </c>
      <c r="Q49" s="117">
        <f t="shared" si="7"/>
        <v>16.96</v>
      </c>
      <c r="R49" s="63">
        <f t="shared" si="39"/>
        <v>16.96</v>
      </c>
      <c r="S49" s="117"/>
    </row>
    <row r="50" s="1" customFormat="1" spans="1:19">
      <c r="A50" s="85"/>
      <c r="B50" s="71">
        <v>4</v>
      </c>
      <c r="C50" s="82" t="s">
        <v>221</v>
      </c>
      <c r="D50" s="85"/>
      <c r="E50" s="117">
        <v>0</v>
      </c>
      <c r="F50" s="117">
        <v>0</v>
      </c>
      <c r="G50" s="117">
        <v>252</v>
      </c>
      <c r="H50" s="117">
        <f t="shared" si="37"/>
        <v>252</v>
      </c>
      <c r="I50" s="117">
        <f t="shared" si="1"/>
        <v>0</v>
      </c>
      <c r="J50" s="117">
        <f t="shared" si="2"/>
        <v>0</v>
      </c>
      <c r="K50" s="117">
        <f t="shared" si="3"/>
        <v>52.92</v>
      </c>
      <c r="L50" s="117">
        <f t="shared" si="4"/>
        <v>52.92</v>
      </c>
      <c r="M50" s="60">
        <v>6</v>
      </c>
      <c r="N50" s="117">
        <f t="shared" si="38"/>
        <v>31.752</v>
      </c>
      <c r="O50" s="117">
        <f t="shared" si="21"/>
        <v>21.168</v>
      </c>
      <c r="P50" s="60">
        <v>17.783</v>
      </c>
      <c r="Q50" s="117">
        <f t="shared" si="7"/>
        <v>13.969</v>
      </c>
      <c r="R50" s="63">
        <f t="shared" si="39"/>
        <v>13.969</v>
      </c>
      <c r="S50" s="117"/>
    </row>
    <row r="51" s="1" customFormat="1" spans="1:19">
      <c r="A51" s="85"/>
      <c r="B51" s="71">
        <v>5</v>
      </c>
      <c r="C51" s="82" t="s">
        <v>222</v>
      </c>
      <c r="D51" s="88"/>
      <c r="E51" s="117">
        <v>0</v>
      </c>
      <c r="F51" s="117">
        <v>0</v>
      </c>
      <c r="G51" s="117">
        <v>26</v>
      </c>
      <c r="H51" s="117">
        <f t="shared" si="37"/>
        <v>26</v>
      </c>
      <c r="I51" s="117">
        <f t="shared" si="1"/>
        <v>0</v>
      </c>
      <c r="J51" s="117">
        <f t="shared" si="2"/>
        <v>0</v>
      </c>
      <c r="K51" s="117">
        <f t="shared" si="3"/>
        <v>5.46</v>
      </c>
      <c r="L51" s="117">
        <f t="shared" si="4"/>
        <v>5.46</v>
      </c>
      <c r="M51" s="60">
        <v>6</v>
      </c>
      <c r="N51" s="117">
        <f t="shared" si="38"/>
        <v>3.276</v>
      </c>
      <c r="O51" s="117">
        <f t="shared" si="21"/>
        <v>2.184</v>
      </c>
      <c r="P51" s="60">
        <v>1.2768</v>
      </c>
      <c r="Q51" s="117">
        <f t="shared" si="7"/>
        <v>1.9992</v>
      </c>
      <c r="R51" s="63">
        <f t="shared" si="39"/>
        <v>1.9992</v>
      </c>
      <c r="S51" s="117"/>
    </row>
    <row r="52" s="1" customFormat="1" spans="1:19">
      <c r="A52" s="88"/>
      <c r="B52" s="89" t="s">
        <v>4</v>
      </c>
      <c r="C52" s="91"/>
      <c r="D52" s="111"/>
      <c r="E52" s="118">
        <f t="shared" ref="E52:G52" si="40">SUM(E47:E51)</f>
        <v>0</v>
      </c>
      <c r="F52" s="118">
        <f t="shared" si="40"/>
        <v>876</v>
      </c>
      <c r="G52" s="118">
        <f t="shared" si="40"/>
        <v>13379</v>
      </c>
      <c r="H52" s="118">
        <f t="shared" si="37"/>
        <v>14255</v>
      </c>
      <c r="I52" s="118">
        <f t="shared" si="1"/>
        <v>0</v>
      </c>
      <c r="J52" s="118">
        <f t="shared" si="2"/>
        <v>280.32</v>
      </c>
      <c r="K52" s="118">
        <f t="shared" si="3"/>
        <v>2809.59</v>
      </c>
      <c r="L52" s="118">
        <f t="shared" si="4"/>
        <v>3089.91</v>
      </c>
      <c r="M52" s="118"/>
      <c r="N52" s="118">
        <f t="shared" ref="N52:R52" si="41">SUM(N47:N51)</f>
        <v>1853.946</v>
      </c>
      <c r="O52" s="118">
        <f t="shared" si="21"/>
        <v>1235.964</v>
      </c>
      <c r="P52" s="126">
        <f t="shared" si="41"/>
        <v>90.9298</v>
      </c>
      <c r="Q52" s="118">
        <f t="shared" si="7"/>
        <v>1763.0162</v>
      </c>
      <c r="R52" s="133">
        <f t="shared" si="41"/>
        <v>1763.0162</v>
      </c>
      <c r="S52" s="117"/>
    </row>
    <row r="53" s="1" customFormat="1" spans="1:19">
      <c r="A53" s="81" t="s">
        <v>223</v>
      </c>
      <c r="B53" s="71">
        <v>1</v>
      </c>
      <c r="C53" s="71" t="s">
        <v>224</v>
      </c>
      <c r="D53" s="81" t="s">
        <v>177</v>
      </c>
      <c r="E53" s="117">
        <v>0</v>
      </c>
      <c r="F53" s="117">
        <v>318</v>
      </c>
      <c r="G53" s="117">
        <v>3684</v>
      </c>
      <c r="H53" s="117">
        <f t="shared" si="37"/>
        <v>4002</v>
      </c>
      <c r="I53" s="117">
        <f t="shared" si="1"/>
        <v>0</v>
      </c>
      <c r="J53" s="117">
        <f t="shared" si="2"/>
        <v>101.76</v>
      </c>
      <c r="K53" s="117">
        <f t="shared" si="3"/>
        <v>773.64</v>
      </c>
      <c r="L53" s="117">
        <f t="shared" si="4"/>
        <v>875.4</v>
      </c>
      <c r="M53" s="60">
        <v>5</v>
      </c>
      <c r="N53" s="117">
        <f t="shared" ref="N53:N56" si="42">L53*M53*0.1</f>
        <v>437.7</v>
      </c>
      <c r="O53" s="117">
        <f t="shared" si="21"/>
        <v>437.7</v>
      </c>
      <c r="P53" s="117">
        <v>174.8161</v>
      </c>
      <c r="Q53" s="117">
        <f t="shared" si="7"/>
        <v>262.8839</v>
      </c>
      <c r="R53" s="63">
        <f t="shared" ref="R53:R56" si="43">Q53</f>
        <v>262.8839</v>
      </c>
      <c r="S53" s="117"/>
    </row>
    <row r="54" s="1" customFormat="1" spans="1:19">
      <c r="A54" s="85"/>
      <c r="B54" s="71">
        <v>2</v>
      </c>
      <c r="C54" s="71" t="s">
        <v>225</v>
      </c>
      <c r="D54" s="88"/>
      <c r="E54" s="117">
        <v>0</v>
      </c>
      <c r="F54" s="117">
        <v>0</v>
      </c>
      <c r="G54" s="117">
        <v>225</v>
      </c>
      <c r="H54" s="117">
        <f t="shared" si="37"/>
        <v>225</v>
      </c>
      <c r="I54" s="117">
        <f t="shared" si="1"/>
        <v>0</v>
      </c>
      <c r="J54" s="117">
        <f t="shared" si="2"/>
        <v>0</v>
      </c>
      <c r="K54" s="117">
        <f t="shared" si="3"/>
        <v>47.25</v>
      </c>
      <c r="L54" s="117">
        <f t="shared" si="4"/>
        <v>47.25</v>
      </c>
      <c r="M54" s="60">
        <v>5</v>
      </c>
      <c r="N54" s="117">
        <f t="shared" si="42"/>
        <v>23.625</v>
      </c>
      <c r="O54" s="117">
        <f t="shared" si="21"/>
        <v>23.625</v>
      </c>
      <c r="P54" s="117">
        <v>16.3732</v>
      </c>
      <c r="Q54" s="117">
        <f t="shared" si="7"/>
        <v>7.2518</v>
      </c>
      <c r="R54" s="63">
        <f t="shared" si="43"/>
        <v>7.2518</v>
      </c>
      <c r="S54" s="117"/>
    </row>
    <row r="55" s="1" customFormat="1" spans="1:19">
      <c r="A55" s="85"/>
      <c r="B55" s="82" t="s">
        <v>202</v>
      </c>
      <c r="C55" s="106"/>
      <c r="D55" s="107"/>
      <c r="E55" s="117">
        <f t="shared" ref="E55:G55" si="44">SUM(E53:E54)</f>
        <v>0</v>
      </c>
      <c r="F55" s="117">
        <f t="shared" si="44"/>
        <v>318</v>
      </c>
      <c r="G55" s="117">
        <f t="shared" si="44"/>
        <v>3909</v>
      </c>
      <c r="H55" s="117">
        <f t="shared" si="37"/>
        <v>4227</v>
      </c>
      <c r="I55" s="117">
        <f t="shared" si="1"/>
        <v>0</v>
      </c>
      <c r="J55" s="117">
        <f t="shared" si="2"/>
        <v>101.76</v>
      </c>
      <c r="K55" s="117">
        <f t="shared" si="3"/>
        <v>820.89</v>
      </c>
      <c r="L55" s="117">
        <f t="shared" si="4"/>
        <v>922.65</v>
      </c>
      <c r="M55" s="117"/>
      <c r="N55" s="117">
        <f t="shared" ref="N55:R55" si="45">SUM(N53:N54)</f>
        <v>461.325</v>
      </c>
      <c r="O55" s="117">
        <f t="shared" si="21"/>
        <v>461.325</v>
      </c>
      <c r="P55" s="118">
        <f t="shared" si="45"/>
        <v>191.1893</v>
      </c>
      <c r="Q55" s="117">
        <f t="shared" si="45"/>
        <v>270.1357</v>
      </c>
      <c r="R55" s="63">
        <f t="shared" si="45"/>
        <v>270.1357</v>
      </c>
      <c r="S55" s="117"/>
    </row>
    <row r="56" s="1" customFormat="1" spans="1:19">
      <c r="A56" s="85"/>
      <c r="B56" s="71">
        <v>3</v>
      </c>
      <c r="C56" s="71" t="s">
        <v>226</v>
      </c>
      <c r="D56" s="71" t="s">
        <v>100</v>
      </c>
      <c r="E56" s="117">
        <v>0</v>
      </c>
      <c r="F56" s="117">
        <v>0</v>
      </c>
      <c r="G56" s="117">
        <v>315</v>
      </c>
      <c r="H56" s="117">
        <f t="shared" si="37"/>
        <v>315</v>
      </c>
      <c r="I56" s="117">
        <f t="shared" si="1"/>
        <v>0</v>
      </c>
      <c r="J56" s="117">
        <f t="shared" si="2"/>
        <v>0</v>
      </c>
      <c r="K56" s="117">
        <f t="shared" si="3"/>
        <v>66.15</v>
      </c>
      <c r="L56" s="117">
        <f t="shared" si="4"/>
        <v>66.15</v>
      </c>
      <c r="M56" s="60">
        <v>8.5</v>
      </c>
      <c r="N56" s="117">
        <f t="shared" si="42"/>
        <v>56.2275</v>
      </c>
      <c r="O56" s="117">
        <f t="shared" si="21"/>
        <v>9.92249999999999</v>
      </c>
      <c r="P56" s="117">
        <v>15.4412</v>
      </c>
      <c r="Q56" s="117">
        <f>N56-P56</f>
        <v>40.7863</v>
      </c>
      <c r="R56" s="63">
        <f t="shared" si="43"/>
        <v>40.7863</v>
      </c>
      <c r="S56" s="117"/>
    </row>
    <row r="57" s="1" customFormat="1" spans="1:19">
      <c r="A57" s="85"/>
      <c r="B57" s="89" t="s">
        <v>4</v>
      </c>
      <c r="C57" s="91"/>
      <c r="D57" s="72"/>
      <c r="E57" s="118">
        <f t="shared" ref="E57:G57" si="46">E56+E55</f>
        <v>0</v>
      </c>
      <c r="F57" s="118">
        <f t="shared" si="46"/>
        <v>318</v>
      </c>
      <c r="G57" s="118">
        <f t="shared" si="46"/>
        <v>4224</v>
      </c>
      <c r="H57" s="118">
        <f t="shared" si="37"/>
        <v>4542</v>
      </c>
      <c r="I57" s="118">
        <f t="shared" si="1"/>
        <v>0</v>
      </c>
      <c r="J57" s="118">
        <f t="shared" si="2"/>
        <v>101.76</v>
      </c>
      <c r="K57" s="118">
        <f t="shared" si="3"/>
        <v>887.04</v>
      </c>
      <c r="L57" s="118">
        <f t="shared" si="4"/>
        <v>988.8</v>
      </c>
      <c r="M57" s="118"/>
      <c r="N57" s="118">
        <f>N56+N55</f>
        <v>517.5525</v>
      </c>
      <c r="O57" s="118">
        <f t="shared" si="21"/>
        <v>471.2475</v>
      </c>
      <c r="P57" s="118">
        <f>P56+P55</f>
        <v>206.6305</v>
      </c>
      <c r="Q57" s="118">
        <f>Q55+Q56</f>
        <v>310.922</v>
      </c>
      <c r="R57" s="133">
        <f>270+41</f>
        <v>311</v>
      </c>
      <c r="S57" s="117"/>
    </row>
    <row r="58" s="1" customFormat="1" spans="1:19">
      <c r="A58" s="112" t="s">
        <v>18</v>
      </c>
      <c r="B58" s="113"/>
      <c r="C58" s="114"/>
      <c r="D58" s="110"/>
      <c r="E58" s="121">
        <f>E57+E46+E39+E35+E25+E20+E17+E52</f>
        <v>114</v>
      </c>
      <c r="F58" s="121">
        <f>F57+F52+F46+F39+F35+F20+F17+F25</f>
        <v>2113</v>
      </c>
      <c r="G58" s="121">
        <f t="shared" ref="G58:L58" si="47">G57+G52+G46+G39+G35+G25+G20+G17</f>
        <v>74687</v>
      </c>
      <c r="H58" s="118">
        <f>H57+H46+H39+H35+H25+H20+H17+H52</f>
        <v>76914</v>
      </c>
      <c r="I58" s="118">
        <f t="shared" si="47"/>
        <v>27.36</v>
      </c>
      <c r="J58" s="118">
        <f t="shared" si="47"/>
        <v>676.16</v>
      </c>
      <c r="K58" s="118">
        <f t="shared" si="47"/>
        <v>15684.27</v>
      </c>
      <c r="L58" s="118">
        <f t="shared" si="47"/>
        <v>16387.79</v>
      </c>
      <c r="M58" s="127"/>
      <c r="N58" s="118">
        <f t="shared" ref="N58:R58" si="48">N57+N52+N46+N39+N35+N25+N20+N17</f>
        <v>9344.882</v>
      </c>
      <c r="O58" s="118">
        <f t="shared" si="48"/>
        <v>7042.908</v>
      </c>
      <c r="P58" s="121">
        <f t="shared" si="48"/>
        <v>2801.6438</v>
      </c>
      <c r="Q58" s="118">
        <f t="shared" si="48"/>
        <v>6543.2382</v>
      </c>
      <c r="R58" s="134">
        <f t="shared" si="48"/>
        <v>6897.282</v>
      </c>
      <c r="S58" s="127"/>
    </row>
    <row r="59" s="1" customFormat="1" spans="18:18">
      <c r="R59" s="136"/>
    </row>
  </sheetData>
  <mergeCells count="45">
    <mergeCell ref="A1:S1"/>
    <mergeCell ref="A2:S2"/>
    <mergeCell ref="E3:H3"/>
    <mergeCell ref="I3:L3"/>
    <mergeCell ref="N3:O3"/>
    <mergeCell ref="B17:D17"/>
    <mergeCell ref="B20:D20"/>
    <mergeCell ref="B25:D25"/>
    <mergeCell ref="B31:D31"/>
    <mergeCell ref="C34:D34"/>
    <mergeCell ref="B35:C35"/>
    <mergeCell ref="B39:D39"/>
    <mergeCell ref="B42:D42"/>
    <mergeCell ref="B45:D45"/>
    <mergeCell ref="B46:C46"/>
    <mergeCell ref="B52:C52"/>
    <mergeCell ref="B55:D55"/>
    <mergeCell ref="B57:C57"/>
    <mergeCell ref="A58:C58"/>
    <mergeCell ref="A3:A5"/>
    <mergeCell ref="A6:A17"/>
    <mergeCell ref="A18:A20"/>
    <mergeCell ref="A21:A25"/>
    <mergeCell ref="A26:A35"/>
    <mergeCell ref="A36:A39"/>
    <mergeCell ref="A40:A46"/>
    <mergeCell ref="A47:A52"/>
    <mergeCell ref="A53:A57"/>
    <mergeCell ref="B3:B5"/>
    <mergeCell ref="C3:C5"/>
    <mergeCell ref="D3:D5"/>
    <mergeCell ref="D6:D16"/>
    <mergeCell ref="D18:D19"/>
    <mergeCell ref="D21:D24"/>
    <mergeCell ref="D26:D30"/>
    <mergeCell ref="D32:D33"/>
    <mergeCell ref="D40:D41"/>
    <mergeCell ref="D43:D44"/>
    <mergeCell ref="D47:D51"/>
    <mergeCell ref="D53:D54"/>
    <mergeCell ref="M3:M4"/>
    <mergeCell ref="P3:P4"/>
    <mergeCell ref="Q3:Q4"/>
    <mergeCell ref="R3:R4"/>
    <mergeCell ref="S3:S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workbookViewId="0">
      <selection activeCell="N17" sqref="N17"/>
    </sheetView>
  </sheetViews>
  <sheetFormatPr defaultColWidth="7.875" defaultRowHeight="15.75"/>
  <cols>
    <col min="1" max="1" width="28.375" style="1" customWidth="1"/>
    <col min="2" max="2" width="13" style="1" customWidth="1"/>
    <col min="3" max="3" width="14.5" style="1" customWidth="1"/>
    <col min="4" max="4" width="9" style="1" customWidth="1"/>
    <col min="5" max="5" width="10.25" style="1" customWidth="1"/>
    <col min="6" max="7" width="9" style="1" customWidth="1"/>
    <col min="8" max="8" width="10.875" style="1" customWidth="1"/>
    <col min="9" max="28" width="9" style="1" customWidth="1"/>
    <col min="29" max="220" width="7.875" style="1" customWidth="1"/>
    <col min="221" max="251" width="9" style="1" customWidth="1"/>
    <col min="252" max="252" width="9" style="1"/>
    <col min="253" max="16384" width="7.875" style="1"/>
  </cols>
  <sheetData>
    <row r="1" s="1" customFormat="1" ht="21" spans="1:10">
      <c r="A1" s="2" t="s">
        <v>227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3</v>
      </c>
      <c r="B2" s="4" t="s">
        <v>228</v>
      </c>
      <c r="C2" s="5" t="s">
        <v>229</v>
      </c>
      <c r="D2" s="5" t="s">
        <v>230</v>
      </c>
      <c r="E2" s="36" t="s">
        <v>231</v>
      </c>
      <c r="F2" s="37" t="s">
        <v>232</v>
      </c>
      <c r="G2" s="38" t="s">
        <v>233</v>
      </c>
      <c r="H2" s="39" t="s">
        <v>234</v>
      </c>
      <c r="I2" s="49" t="s">
        <v>235</v>
      </c>
      <c r="J2" s="50" t="s">
        <v>162</v>
      </c>
    </row>
    <row r="3" s="1" customFormat="1" spans="1:10">
      <c r="A3" s="6"/>
      <c r="B3" s="7"/>
      <c r="C3" s="5"/>
      <c r="D3" s="5"/>
      <c r="E3" s="36"/>
      <c r="F3" s="37"/>
      <c r="G3" s="38"/>
      <c r="H3" s="39"/>
      <c r="I3" s="51"/>
      <c r="J3" s="13"/>
    </row>
    <row r="4" s="1" customFormat="1" spans="1:10">
      <c r="A4" s="6"/>
      <c r="B4" s="7"/>
      <c r="C4" s="5"/>
      <c r="D4" s="5"/>
      <c r="E4" s="36"/>
      <c r="F4" s="37"/>
      <c r="G4" s="38"/>
      <c r="H4" s="39"/>
      <c r="I4" s="51"/>
      <c r="J4" s="13"/>
    </row>
    <row r="5" s="1" customFormat="1" spans="1:10">
      <c r="A5" s="8"/>
      <c r="B5" s="7"/>
      <c r="C5" s="9"/>
      <c r="D5" s="10"/>
      <c r="E5" s="40"/>
      <c r="F5" s="41"/>
      <c r="G5" s="42"/>
      <c r="H5" s="43"/>
      <c r="I5" s="52"/>
      <c r="J5" s="13"/>
    </row>
    <row r="6" s="1" customFormat="1" spans="1:10">
      <c r="A6" s="11" t="s">
        <v>18</v>
      </c>
      <c r="B6" s="12">
        <f t="shared" ref="B6:G6" si="0">B7+B22+B31+B44+B58+B76+B88+B97+B109</f>
        <v>81626</v>
      </c>
      <c r="C6" s="13">
        <f t="shared" si="0"/>
        <v>1877.398</v>
      </c>
      <c r="D6" s="14"/>
      <c r="E6" s="44">
        <f t="shared" si="0"/>
        <v>1064.13525</v>
      </c>
      <c r="F6" s="45">
        <f t="shared" si="0"/>
        <v>813.26275</v>
      </c>
      <c r="G6" s="45">
        <f t="shared" si="0"/>
        <v>580.5888</v>
      </c>
      <c r="H6" s="46">
        <f>H7+H22+H31+H44+H58++H76+H88+H97+H109</f>
        <v>483.54645</v>
      </c>
      <c r="I6" s="53">
        <v>492</v>
      </c>
      <c r="J6" s="54"/>
    </row>
    <row r="7" s="1" customFormat="1" spans="1:10">
      <c r="A7" s="15" t="s">
        <v>19</v>
      </c>
      <c r="B7" s="16">
        <f t="shared" ref="B7:G7" si="1">SUM(B8:B21)</f>
        <v>21348</v>
      </c>
      <c r="C7" s="17">
        <f t="shared" si="1"/>
        <v>491.004</v>
      </c>
      <c r="D7" s="18"/>
      <c r="E7" s="47">
        <f t="shared" si="1"/>
        <v>245.502</v>
      </c>
      <c r="F7" s="47">
        <f t="shared" ref="F7:F70" si="2">C7-E7</f>
        <v>245.502</v>
      </c>
      <c r="G7" s="47">
        <f t="shared" si="1"/>
        <v>180.8075</v>
      </c>
      <c r="H7" s="24">
        <f t="shared" ref="H7:H70" si="3">E7-G7</f>
        <v>64.6945</v>
      </c>
      <c r="I7" s="55">
        <f>SUM(I8:I21)</f>
        <v>64.6945</v>
      </c>
      <c r="J7" s="54"/>
    </row>
    <row r="8" s="1" customFormat="1" spans="1:10">
      <c r="A8" s="19" t="s">
        <v>20</v>
      </c>
      <c r="B8" s="20">
        <f>21463-115</f>
        <v>21348</v>
      </c>
      <c r="C8" s="13">
        <f t="shared" ref="C8:C71" si="4">B8*0.1*0.23</f>
        <v>491.004</v>
      </c>
      <c r="D8" s="21">
        <v>0.5</v>
      </c>
      <c r="E8" s="22">
        <f t="shared" ref="E8:E21" si="5">C8*D8</f>
        <v>245.502</v>
      </c>
      <c r="F8" s="22">
        <f t="shared" si="2"/>
        <v>245.502</v>
      </c>
      <c r="G8" s="22">
        <v>180.8075</v>
      </c>
      <c r="H8" s="20">
        <f t="shared" si="3"/>
        <v>64.6945</v>
      </c>
      <c r="I8" s="56">
        <f t="shared" ref="I8:I21" si="6">H8</f>
        <v>64.6945</v>
      </c>
      <c r="J8" s="54"/>
    </row>
    <row r="9" s="1" customFormat="1" spans="1:10">
      <c r="A9" s="19" t="s">
        <v>134</v>
      </c>
      <c r="B9" s="20"/>
      <c r="C9" s="13">
        <f t="shared" si="4"/>
        <v>0</v>
      </c>
      <c r="D9" s="21">
        <v>0.5</v>
      </c>
      <c r="E9" s="20">
        <f t="shared" si="5"/>
        <v>0</v>
      </c>
      <c r="F9" s="20">
        <f t="shared" si="2"/>
        <v>0</v>
      </c>
      <c r="G9" s="20"/>
      <c r="H9" s="20">
        <f t="shared" si="3"/>
        <v>0</v>
      </c>
      <c r="I9" s="56">
        <f t="shared" si="6"/>
        <v>0</v>
      </c>
      <c r="J9" s="54"/>
    </row>
    <row r="10" s="1" customFormat="1" spans="1:10">
      <c r="A10" s="19" t="s">
        <v>21</v>
      </c>
      <c r="B10" s="22"/>
      <c r="C10" s="13">
        <f t="shared" si="4"/>
        <v>0</v>
      </c>
      <c r="D10" s="21">
        <v>0.5</v>
      </c>
      <c r="E10" s="20">
        <f t="shared" si="5"/>
        <v>0</v>
      </c>
      <c r="F10" s="20">
        <f t="shared" si="2"/>
        <v>0</v>
      </c>
      <c r="G10" s="20"/>
      <c r="H10" s="20">
        <f t="shared" si="3"/>
        <v>0</v>
      </c>
      <c r="I10" s="56">
        <f t="shared" si="6"/>
        <v>0</v>
      </c>
      <c r="J10" s="54"/>
    </row>
    <row r="11" s="1" customFormat="1" spans="1:10">
      <c r="A11" s="19" t="s">
        <v>22</v>
      </c>
      <c r="B11" s="22"/>
      <c r="C11" s="13">
        <f t="shared" si="4"/>
        <v>0</v>
      </c>
      <c r="D11" s="21">
        <v>0.5</v>
      </c>
      <c r="E11" s="20">
        <f t="shared" si="5"/>
        <v>0</v>
      </c>
      <c r="F11" s="20">
        <f t="shared" si="2"/>
        <v>0</v>
      </c>
      <c r="G11" s="20"/>
      <c r="H11" s="20">
        <f t="shared" si="3"/>
        <v>0</v>
      </c>
      <c r="I11" s="56">
        <f t="shared" si="6"/>
        <v>0</v>
      </c>
      <c r="J11" s="54"/>
    </row>
    <row r="12" s="1" customFormat="1" spans="1:10">
      <c r="A12" s="19" t="s">
        <v>135</v>
      </c>
      <c r="B12" s="22"/>
      <c r="C12" s="13">
        <f t="shared" si="4"/>
        <v>0</v>
      </c>
      <c r="D12" s="21">
        <v>0.5</v>
      </c>
      <c r="E12" s="20">
        <f t="shared" si="5"/>
        <v>0</v>
      </c>
      <c r="F12" s="20">
        <f t="shared" si="2"/>
        <v>0</v>
      </c>
      <c r="G12" s="20"/>
      <c r="H12" s="20">
        <f t="shared" si="3"/>
        <v>0</v>
      </c>
      <c r="I12" s="56">
        <f t="shared" si="6"/>
        <v>0</v>
      </c>
      <c r="J12" s="54"/>
    </row>
    <row r="13" s="1" customFormat="1" spans="1:10">
      <c r="A13" s="19" t="s">
        <v>23</v>
      </c>
      <c r="B13" s="22"/>
      <c r="C13" s="13">
        <f t="shared" si="4"/>
        <v>0</v>
      </c>
      <c r="D13" s="21">
        <v>0.5</v>
      </c>
      <c r="E13" s="20">
        <f t="shared" si="5"/>
        <v>0</v>
      </c>
      <c r="F13" s="20">
        <f t="shared" si="2"/>
        <v>0</v>
      </c>
      <c r="G13" s="20"/>
      <c r="H13" s="20">
        <f t="shared" si="3"/>
        <v>0</v>
      </c>
      <c r="I13" s="56">
        <f t="shared" si="6"/>
        <v>0</v>
      </c>
      <c r="J13" s="54"/>
    </row>
    <row r="14" s="1" customFormat="1" spans="1:10">
      <c r="A14" s="23" t="s">
        <v>30</v>
      </c>
      <c r="B14" s="22"/>
      <c r="C14" s="13">
        <f t="shared" si="4"/>
        <v>0</v>
      </c>
      <c r="D14" s="21">
        <v>0.5</v>
      </c>
      <c r="E14" s="20">
        <f t="shared" si="5"/>
        <v>0</v>
      </c>
      <c r="F14" s="20">
        <f t="shared" si="2"/>
        <v>0</v>
      </c>
      <c r="G14" s="20"/>
      <c r="H14" s="20">
        <f t="shared" si="3"/>
        <v>0</v>
      </c>
      <c r="I14" s="56">
        <f t="shared" si="6"/>
        <v>0</v>
      </c>
      <c r="J14" s="54"/>
    </row>
    <row r="15" s="1" customFormat="1" spans="1:10">
      <c r="A15" s="23" t="s">
        <v>122</v>
      </c>
      <c r="B15" s="22"/>
      <c r="C15" s="13">
        <f t="shared" si="4"/>
        <v>0</v>
      </c>
      <c r="D15" s="21">
        <v>0.5</v>
      </c>
      <c r="E15" s="20">
        <f t="shared" si="5"/>
        <v>0</v>
      </c>
      <c r="F15" s="20">
        <f t="shared" si="2"/>
        <v>0</v>
      </c>
      <c r="G15" s="20"/>
      <c r="H15" s="20">
        <f t="shared" si="3"/>
        <v>0</v>
      </c>
      <c r="I15" s="56">
        <f t="shared" si="6"/>
        <v>0</v>
      </c>
      <c r="J15" s="54"/>
    </row>
    <row r="16" s="1" customFormat="1" spans="1:10">
      <c r="A16" s="23" t="s">
        <v>24</v>
      </c>
      <c r="B16" s="22"/>
      <c r="C16" s="13">
        <f t="shared" si="4"/>
        <v>0</v>
      </c>
      <c r="D16" s="21">
        <v>0.5</v>
      </c>
      <c r="E16" s="20">
        <f t="shared" si="5"/>
        <v>0</v>
      </c>
      <c r="F16" s="20">
        <f t="shared" si="2"/>
        <v>0</v>
      </c>
      <c r="G16" s="20"/>
      <c r="H16" s="20">
        <f t="shared" si="3"/>
        <v>0</v>
      </c>
      <c r="I16" s="56">
        <f t="shared" si="6"/>
        <v>0</v>
      </c>
      <c r="J16" s="54"/>
    </row>
    <row r="17" s="1" customFormat="1" spans="1:10">
      <c r="A17" s="23" t="s">
        <v>25</v>
      </c>
      <c r="B17" s="22"/>
      <c r="C17" s="13">
        <f t="shared" si="4"/>
        <v>0</v>
      </c>
      <c r="D17" s="21">
        <v>0.5</v>
      </c>
      <c r="E17" s="20">
        <f t="shared" si="5"/>
        <v>0</v>
      </c>
      <c r="F17" s="20">
        <f t="shared" si="2"/>
        <v>0</v>
      </c>
      <c r="G17" s="20"/>
      <c r="H17" s="20">
        <f t="shared" si="3"/>
        <v>0</v>
      </c>
      <c r="I17" s="56">
        <f t="shared" si="6"/>
        <v>0</v>
      </c>
      <c r="J17" s="54"/>
    </row>
    <row r="18" s="1" customFormat="1" spans="1:10">
      <c r="A18" s="23" t="s">
        <v>26</v>
      </c>
      <c r="B18" s="22"/>
      <c r="C18" s="13">
        <f t="shared" si="4"/>
        <v>0</v>
      </c>
      <c r="D18" s="21">
        <v>0.8</v>
      </c>
      <c r="E18" s="20">
        <f t="shared" si="5"/>
        <v>0</v>
      </c>
      <c r="F18" s="20">
        <f t="shared" si="2"/>
        <v>0</v>
      </c>
      <c r="G18" s="20"/>
      <c r="H18" s="20">
        <f t="shared" si="3"/>
        <v>0</v>
      </c>
      <c r="I18" s="56">
        <f t="shared" si="6"/>
        <v>0</v>
      </c>
      <c r="J18" s="54"/>
    </row>
    <row r="19" s="1" customFormat="1" spans="1:10">
      <c r="A19" s="23" t="s">
        <v>27</v>
      </c>
      <c r="B19" s="22"/>
      <c r="C19" s="13">
        <f t="shared" si="4"/>
        <v>0</v>
      </c>
      <c r="D19" s="21">
        <v>0.6</v>
      </c>
      <c r="E19" s="20">
        <f t="shared" si="5"/>
        <v>0</v>
      </c>
      <c r="F19" s="20">
        <f t="shared" si="2"/>
        <v>0</v>
      </c>
      <c r="G19" s="20"/>
      <c r="H19" s="20">
        <f t="shared" si="3"/>
        <v>0</v>
      </c>
      <c r="I19" s="56">
        <f t="shared" si="6"/>
        <v>0</v>
      </c>
      <c r="J19" s="54"/>
    </row>
    <row r="20" s="1" customFormat="1" spans="1:10">
      <c r="A20" s="23" t="s">
        <v>28</v>
      </c>
      <c r="B20" s="22"/>
      <c r="C20" s="13">
        <f t="shared" si="4"/>
        <v>0</v>
      </c>
      <c r="D20" s="21">
        <v>0.85</v>
      </c>
      <c r="E20" s="20">
        <f t="shared" si="5"/>
        <v>0</v>
      </c>
      <c r="F20" s="20">
        <f t="shared" si="2"/>
        <v>0</v>
      </c>
      <c r="G20" s="20"/>
      <c r="H20" s="20">
        <f t="shared" si="3"/>
        <v>0</v>
      </c>
      <c r="I20" s="56">
        <f t="shared" si="6"/>
        <v>0</v>
      </c>
      <c r="J20" s="54"/>
    </row>
    <row r="21" s="1" customFormat="1" spans="1:10">
      <c r="A21" s="23" t="s">
        <v>29</v>
      </c>
      <c r="B21" s="22"/>
      <c r="C21" s="13">
        <f t="shared" si="4"/>
        <v>0</v>
      </c>
      <c r="D21" s="21">
        <v>0.5</v>
      </c>
      <c r="E21" s="20">
        <f t="shared" si="5"/>
        <v>0</v>
      </c>
      <c r="F21" s="20">
        <f t="shared" si="2"/>
        <v>0</v>
      </c>
      <c r="G21" s="20"/>
      <c r="H21" s="20">
        <f t="shared" si="3"/>
        <v>0</v>
      </c>
      <c r="I21" s="56">
        <f t="shared" si="6"/>
        <v>0</v>
      </c>
      <c r="J21" s="54"/>
    </row>
    <row r="22" s="1" customFormat="1" spans="1:10">
      <c r="A22" s="15" t="s">
        <v>31</v>
      </c>
      <c r="B22" s="24">
        <f t="shared" ref="B22:G22" si="7">SUM(B23:B30)</f>
        <v>3930</v>
      </c>
      <c r="C22" s="17">
        <f t="shared" si="4"/>
        <v>90.39</v>
      </c>
      <c r="D22" s="25"/>
      <c r="E22" s="24">
        <f t="shared" si="7"/>
        <v>54.234</v>
      </c>
      <c r="F22" s="24">
        <f t="shared" si="2"/>
        <v>36.156</v>
      </c>
      <c r="G22" s="24">
        <f t="shared" si="7"/>
        <v>43.7994</v>
      </c>
      <c r="H22" s="24">
        <f t="shared" si="3"/>
        <v>10.4346</v>
      </c>
      <c r="I22" s="57">
        <f>SUM(I23:I30)</f>
        <v>10.4346</v>
      </c>
      <c r="J22" s="54"/>
    </row>
    <row r="23" s="1" customFormat="1" spans="1:10">
      <c r="A23" s="26" t="s">
        <v>32</v>
      </c>
      <c r="B23" s="20">
        <f>3934-4</f>
        <v>3930</v>
      </c>
      <c r="C23" s="13">
        <f t="shared" si="4"/>
        <v>90.39</v>
      </c>
      <c r="D23" s="21">
        <v>0.6</v>
      </c>
      <c r="E23" s="20">
        <f t="shared" ref="E23:E30" si="8">C23*D23</f>
        <v>54.234</v>
      </c>
      <c r="F23" s="20">
        <f t="shared" si="2"/>
        <v>36.156</v>
      </c>
      <c r="G23" s="20">
        <f>16.024+27.7754</f>
        <v>43.7994</v>
      </c>
      <c r="H23" s="20">
        <f t="shared" si="3"/>
        <v>10.4346</v>
      </c>
      <c r="I23" s="56">
        <f t="shared" ref="I23:I30" si="9">H23</f>
        <v>10.4346</v>
      </c>
      <c r="J23" s="54"/>
    </row>
    <row r="24" s="1" customFormat="1" spans="1:10">
      <c r="A24" s="19" t="s">
        <v>33</v>
      </c>
      <c r="B24" s="20"/>
      <c r="C24" s="13">
        <f t="shared" si="4"/>
        <v>0</v>
      </c>
      <c r="D24" s="21">
        <v>0.6</v>
      </c>
      <c r="E24" s="20">
        <f t="shared" si="8"/>
        <v>0</v>
      </c>
      <c r="F24" s="20">
        <f t="shared" si="2"/>
        <v>0</v>
      </c>
      <c r="G24" s="20"/>
      <c r="H24" s="20">
        <f t="shared" si="3"/>
        <v>0</v>
      </c>
      <c r="I24" s="56">
        <f t="shared" si="9"/>
        <v>0</v>
      </c>
      <c r="J24" s="54"/>
    </row>
    <row r="25" s="1" customFormat="1" spans="1:10">
      <c r="A25" s="19" t="s">
        <v>34</v>
      </c>
      <c r="B25" s="20"/>
      <c r="C25" s="13">
        <f t="shared" si="4"/>
        <v>0</v>
      </c>
      <c r="D25" s="21">
        <v>0.6</v>
      </c>
      <c r="E25" s="20">
        <f t="shared" si="8"/>
        <v>0</v>
      </c>
      <c r="F25" s="20">
        <f t="shared" si="2"/>
        <v>0</v>
      </c>
      <c r="G25" s="20"/>
      <c r="H25" s="20">
        <f t="shared" si="3"/>
        <v>0</v>
      </c>
      <c r="I25" s="56">
        <f t="shared" si="9"/>
        <v>0</v>
      </c>
      <c r="J25" s="54"/>
    </row>
    <row r="26" s="1" customFormat="1" spans="1:10">
      <c r="A26" s="19" t="s">
        <v>35</v>
      </c>
      <c r="B26" s="20"/>
      <c r="C26" s="13">
        <f t="shared" si="4"/>
        <v>0</v>
      </c>
      <c r="D26" s="21">
        <v>0.6</v>
      </c>
      <c r="E26" s="20">
        <f t="shared" si="8"/>
        <v>0</v>
      </c>
      <c r="F26" s="20">
        <f t="shared" si="2"/>
        <v>0</v>
      </c>
      <c r="G26" s="20"/>
      <c r="H26" s="20">
        <f t="shared" si="3"/>
        <v>0</v>
      </c>
      <c r="I26" s="56">
        <f t="shared" si="9"/>
        <v>0</v>
      </c>
      <c r="J26" s="54"/>
    </row>
    <row r="27" s="1" customFormat="1" spans="1:10">
      <c r="A27" s="19" t="s">
        <v>36</v>
      </c>
      <c r="B27" s="20"/>
      <c r="C27" s="13">
        <f t="shared" si="4"/>
        <v>0</v>
      </c>
      <c r="D27" s="21">
        <v>0.6</v>
      </c>
      <c r="E27" s="20">
        <f t="shared" si="8"/>
        <v>0</v>
      </c>
      <c r="F27" s="20">
        <f t="shared" si="2"/>
        <v>0</v>
      </c>
      <c r="G27" s="20"/>
      <c r="H27" s="20">
        <f t="shared" si="3"/>
        <v>0</v>
      </c>
      <c r="I27" s="56">
        <f t="shared" si="9"/>
        <v>0</v>
      </c>
      <c r="J27" s="54"/>
    </row>
    <row r="28" s="1" customFormat="1" spans="1:10">
      <c r="A28" s="19" t="s">
        <v>37</v>
      </c>
      <c r="B28" s="20"/>
      <c r="C28" s="13">
        <f t="shared" si="4"/>
        <v>0</v>
      </c>
      <c r="D28" s="21">
        <v>0.8</v>
      </c>
      <c r="E28" s="20">
        <f t="shared" si="8"/>
        <v>0</v>
      </c>
      <c r="F28" s="20">
        <f t="shared" si="2"/>
        <v>0</v>
      </c>
      <c r="G28" s="20"/>
      <c r="H28" s="20">
        <f t="shared" si="3"/>
        <v>0</v>
      </c>
      <c r="I28" s="56">
        <f t="shared" si="9"/>
        <v>0</v>
      </c>
      <c r="J28" s="54"/>
    </row>
    <row r="29" s="1" customFormat="1" spans="1:10">
      <c r="A29" s="27" t="s">
        <v>136</v>
      </c>
      <c r="B29" s="20"/>
      <c r="C29" s="13">
        <f t="shared" si="4"/>
        <v>0</v>
      </c>
      <c r="D29" s="21">
        <v>0.6</v>
      </c>
      <c r="E29" s="20">
        <f t="shared" si="8"/>
        <v>0</v>
      </c>
      <c r="F29" s="20">
        <f t="shared" si="2"/>
        <v>0</v>
      </c>
      <c r="G29" s="20"/>
      <c r="H29" s="20">
        <f t="shared" si="3"/>
        <v>0</v>
      </c>
      <c r="I29" s="56">
        <f t="shared" si="9"/>
        <v>0</v>
      </c>
      <c r="J29" s="54"/>
    </row>
    <row r="30" s="1" customFormat="1" spans="1:10">
      <c r="A30" s="27" t="s">
        <v>137</v>
      </c>
      <c r="B30" s="20"/>
      <c r="C30" s="13">
        <f t="shared" si="4"/>
        <v>0</v>
      </c>
      <c r="D30" s="21">
        <v>0.6</v>
      </c>
      <c r="E30" s="20">
        <f t="shared" si="8"/>
        <v>0</v>
      </c>
      <c r="F30" s="20">
        <f t="shared" si="2"/>
        <v>0</v>
      </c>
      <c r="G30" s="20"/>
      <c r="H30" s="20">
        <f t="shared" si="3"/>
        <v>0</v>
      </c>
      <c r="I30" s="56">
        <f t="shared" si="9"/>
        <v>0</v>
      </c>
      <c r="J30" s="54"/>
    </row>
    <row r="31" s="1" customFormat="1" ht="21.95" customHeight="1" spans="1:10">
      <c r="A31" s="15" t="s">
        <v>38</v>
      </c>
      <c r="B31" s="24">
        <f t="shared" ref="B31:G31" si="10">SUM(B32:B43)</f>
        <v>3863</v>
      </c>
      <c r="C31" s="17">
        <f t="shared" si="4"/>
        <v>88.849</v>
      </c>
      <c r="D31" s="25"/>
      <c r="E31" s="24">
        <f t="shared" si="10"/>
        <v>71.0792</v>
      </c>
      <c r="F31" s="24">
        <f t="shared" si="2"/>
        <v>17.7698</v>
      </c>
      <c r="G31" s="24">
        <f t="shared" si="10"/>
        <v>62.979</v>
      </c>
      <c r="H31" s="24">
        <f t="shared" si="3"/>
        <v>8.1002</v>
      </c>
      <c r="I31" s="57">
        <f>SUM(I32:I43)</f>
        <v>8.1002</v>
      </c>
      <c r="J31" s="54"/>
    </row>
    <row r="32" s="1" customFormat="1" spans="1:10">
      <c r="A32" s="19" t="s">
        <v>39</v>
      </c>
      <c r="B32" s="20">
        <f>3864-1</f>
        <v>3863</v>
      </c>
      <c r="C32" s="13">
        <f t="shared" si="4"/>
        <v>88.849</v>
      </c>
      <c r="D32" s="21">
        <v>0.8</v>
      </c>
      <c r="E32" s="20">
        <f t="shared" ref="E32:E43" si="11">C32*D32</f>
        <v>71.0792</v>
      </c>
      <c r="F32" s="20">
        <f t="shared" si="2"/>
        <v>17.7698</v>
      </c>
      <c r="G32" s="20">
        <f>62.979</f>
        <v>62.979</v>
      </c>
      <c r="H32" s="20">
        <f t="shared" si="3"/>
        <v>8.1002</v>
      </c>
      <c r="I32" s="56">
        <f t="shared" ref="I32:I43" si="12">H32</f>
        <v>8.1002</v>
      </c>
      <c r="J32" s="54"/>
    </row>
    <row r="33" s="1" customFormat="1" spans="1:10">
      <c r="A33" s="27" t="s">
        <v>138</v>
      </c>
      <c r="B33" s="20"/>
      <c r="C33" s="13">
        <f t="shared" si="4"/>
        <v>0</v>
      </c>
      <c r="D33" s="21">
        <v>0.8</v>
      </c>
      <c r="E33" s="20">
        <f t="shared" si="11"/>
        <v>0</v>
      </c>
      <c r="F33" s="20">
        <f t="shared" si="2"/>
        <v>0</v>
      </c>
      <c r="G33" s="20"/>
      <c r="H33" s="20">
        <f t="shared" si="3"/>
        <v>0</v>
      </c>
      <c r="I33" s="56">
        <f t="shared" si="12"/>
        <v>0</v>
      </c>
      <c r="J33" s="54"/>
    </row>
    <row r="34" s="1" customFormat="1" spans="1:10">
      <c r="A34" s="27" t="s">
        <v>44</v>
      </c>
      <c r="B34" s="20"/>
      <c r="C34" s="13">
        <f t="shared" si="4"/>
        <v>0</v>
      </c>
      <c r="D34" s="21">
        <v>0.8</v>
      </c>
      <c r="E34" s="20">
        <f t="shared" si="11"/>
        <v>0</v>
      </c>
      <c r="F34" s="20">
        <f t="shared" si="2"/>
        <v>0</v>
      </c>
      <c r="G34" s="20"/>
      <c r="H34" s="20">
        <f t="shared" si="3"/>
        <v>0</v>
      </c>
      <c r="I34" s="56">
        <f t="shared" si="12"/>
        <v>0</v>
      </c>
      <c r="J34" s="54"/>
    </row>
    <row r="35" s="1" customFormat="1" spans="1:10">
      <c r="A35" s="19" t="s">
        <v>40</v>
      </c>
      <c r="B35" s="20"/>
      <c r="C35" s="13">
        <f t="shared" si="4"/>
        <v>0</v>
      </c>
      <c r="D35" s="21">
        <v>0.85</v>
      </c>
      <c r="E35" s="20">
        <f t="shared" si="11"/>
        <v>0</v>
      </c>
      <c r="F35" s="20">
        <f t="shared" si="2"/>
        <v>0</v>
      </c>
      <c r="G35" s="20"/>
      <c r="H35" s="20">
        <f t="shared" si="3"/>
        <v>0</v>
      </c>
      <c r="I35" s="56">
        <f t="shared" si="12"/>
        <v>0</v>
      </c>
      <c r="J35" s="54"/>
    </row>
    <row r="36" s="1" customFormat="1" spans="1:10">
      <c r="A36" s="19" t="s">
        <v>41</v>
      </c>
      <c r="B36" s="20"/>
      <c r="C36" s="13">
        <f t="shared" si="4"/>
        <v>0</v>
      </c>
      <c r="D36" s="21">
        <v>0.85</v>
      </c>
      <c r="E36" s="20">
        <f t="shared" si="11"/>
        <v>0</v>
      </c>
      <c r="F36" s="20">
        <f t="shared" si="2"/>
        <v>0</v>
      </c>
      <c r="G36" s="20"/>
      <c r="H36" s="20">
        <f t="shared" si="3"/>
        <v>0</v>
      </c>
      <c r="I36" s="56">
        <f t="shared" si="12"/>
        <v>0</v>
      </c>
      <c r="J36" s="54"/>
    </row>
    <row r="37" s="1" customFormat="1" spans="1:10">
      <c r="A37" s="28" t="s">
        <v>139</v>
      </c>
      <c r="B37" s="20"/>
      <c r="C37" s="13">
        <f t="shared" si="4"/>
        <v>0</v>
      </c>
      <c r="D37" s="21">
        <v>0.9</v>
      </c>
      <c r="E37" s="20">
        <f t="shared" si="11"/>
        <v>0</v>
      </c>
      <c r="F37" s="20">
        <f t="shared" si="2"/>
        <v>0</v>
      </c>
      <c r="G37" s="20"/>
      <c r="H37" s="20">
        <f t="shared" si="3"/>
        <v>0</v>
      </c>
      <c r="I37" s="56">
        <f t="shared" si="12"/>
        <v>0</v>
      </c>
      <c r="J37" s="54"/>
    </row>
    <row r="38" s="1" customFormat="1" spans="1:10">
      <c r="A38" s="19" t="s">
        <v>42</v>
      </c>
      <c r="B38" s="20"/>
      <c r="C38" s="13">
        <f t="shared" si="4"/>
        <v>0</v>
      </c>
      <c r="D38" s="21">
        <v>0.9</v>
      </c>
      <c r="E38" s="20">
        <f t="shared" si="11"/>
        <v>0</v>
      </c>
      <c r="F38" s="20">
        <f t="shared" si="2"/>
        <v>0</v>
      </c>
      <c r="G38" s="20"/>
      <c r="H38" s="20">
        <f t="shared" si="3"/>
        <v>0</v>
      </c>
      <c r="I38" s="56">
        <f t="shared" si="12"/>
        <v>0</v>
      </c>
      <c r="J38" s="54"/>
    </row>
    <row r="39" s="1" customFormat="1" spans="1:10">
      <c r="A39" s="19" t="s">
        <v>43</v>
      </c>
      <c r="B39" s="20"/>
      <c r="C39" s="13">
        <f t="shared" si="4"/>
        <v>0</v>
      </c>
      <c r="D39" s="21">
        <v>0.85</v>
      </c>
      <c r="E39" s="20">
        <f t="shared" si="11"/>
        <v>0</v>
      </c>
      <c r="F39" s="20">
        <f t="shared" si="2"/>
        <v>0</v>
      </c>
      <c r="G39" s="20"/>
      <c r="H39" s="20">
        <f t="shared" si="3"/>
        <v>0</v>
      </c>
      <c r="I39" s="56">
        <f t="shared" si="12"/>
        <v>0</v>
      </c>
      <c r="J39" s="54"/>
    </row>
    <row r="40" s="1" customFormat="1" spans="1:10">
      <c r="A40" s="19" t="s">
        <v>45</v>
      </c>
      <c r="B40" s="20"/>
      <c r="C40" s="13">
        <f t="shared" si="4"/>
        <v>0</v>
      </c>
      <c r="D40" s="21">
        <v>0.8</v>
      </c>
      <c r="E40" s="20">
        <f t="shared" si="11"/>
        <v>0</v>
      </c>
      <c r="F40" s="20">
        <f t="shared" si="2"/>
        <v>0</v>
      </c>
      <c r="G40" s="20"/>
      <c r="H40" s="20">
        <f t="shared" si="3"/>
        <v>0</v>
      </c>
      <c r="I40" s="56">
        <f t="shared" si="12"/>
        <v>0</v>
      </c>
      <c r="J40" s="54"/>
    </row>
    <row r="41" s="1" customFormat="1" spans="1:10">
      <c r="A41" s="19" t="s">
        <v>46</v>
      </c>
      <c r="B41" s="20"/>
      <c r="C41" s="13">
        <f t="shared" si="4"/>
        <v>0</v>
      </c>
      <c r="D41" s="21">
        <v>0.9</v>
      </c>
      <c r="E41" s="20">
        <f t="shared" si="11"/>
        <v>0</v>
      </c>
      <c r="F41" s="20">
        <f t="shared" si="2"/>
        <v>0</v>
      </c>
      <c r="G41" s="20"/>
      <c r="H41" s="20">
        <f t="shared" si="3"/>
        <v>0</v>
      </c>
      <c r="I41" s="56">
        <f t="shared" si="12"/>
        <v>0</v>
      </c>
      <c r="J41" s="54"/>
    </row>
    <row r="42" s="1" customFormat="1" spans="1:10">
      <c r="A42" s="19" t="s">
        <v>47</v>
      </c>
      <c r="B42" s="20"/>
      <c r="C42" s="13">
        <f t="shared" si="4"/>
        <v>0</v>
      </c>
      <c r="D42" s="21">
        <v>0.8</v>
      </c>
      <c r="E42" s="20">
        <f t="shared" si="11"/>
        <v>0</v>
      </c>
      <c r="F42" s="20">
        <f t="shared" si="2"/>
        <v>0</v>
      </c>
      <c r="G42" s="20"/>
      <c r="H42" s="20">
        <f t="shared" si="3"/>
        <v>0</v>
      </c>
      <c r="I42" s="56">
        <f t="shared" si="12"/>
        <v>0</v>
      </c>
      <c r="J42" s="54"/>
    </row>
    <row r="43" s="1" customFormat="1" spans="1:10">
      <c r="A43" s="19" t="s">
        <v>48</v>
      </c>
      <c r="B43" s="20"/>
      <c r="C43" s="13">
        <f t="shared" si="4"/>
        <v>0</v>
      </c>
      <c r="D43" s="21">
        <v>0.8</v>
      </c>
      <c r="E43" s="20">
        <f t="shared" si="11"/>
        <v>0</v>
      </c>
      <c r="F43" s="20">
        <f t="shared" si="2"/>
        <v>0</v>
      </c>
      <c r="G43" s="20"/>
      <c r="H43" s="20">
        <f t="shared" si="3"/>
        <v>0</v>
      </c>
      <c r="I43" s="56">
        <f t="shared" si="12"/>
        <v>0</v>
      </c>
      <c r="J43" s="54"/>
    </row>
    <row r="44" s="1" customFormat="1" spans="1:10">
      <c r="A44" s="15" t="s">
        <v>49</v>
      </c>
      <c r="B44" s="24">
        <f t="shared" ref="B44:G44" si="13">SUM(B45:B57)</f>
        <v>16266</v>
      </c>
      <c r="C44" s="17">
        <f t="shared" si="4"/>
        <v>374.118</v>
      </c>
      <c r="D44" s="25"/>
      <c r="E44" s="24">
        <f t="shared" si="13"/>
        <v>197.6758</v>
      </c>
      <c r="F44" s="24">
        <f t="shared" si="2"/>
        <v>176.4422</v>
      </c>
      <c r="G44" s="24">
        <f t="shared" si="13"/>
        <v>126.0014</v>
      </c>
      <c r="H44" s="24">
        <f t="shared" si="3"/>
        <v>71.6744</v>
      </c>
      <c r="I44" s="57">
        <f>SUM(I45:I57)</f>
        <v>71.6744</v>
      </c>
      <c r="J44" s="54"/>
    </row>
    <row r="45" s="1" customFormat="1" spans="1:10">
      <c r="A45" s="19" t="s">
        <v>140</v>
      </c>
      <c r="B45" s="20">
        <f>2845+185+1571+1998+1425+3448+185-7</f>
        <v>11650</v>
      </c>
      <c r="C45" s="13">
        <f t="shared" si="4"/>
        <v>267.95</v>
      </c>
      <c r="D45" s="21">
        <v>0.5</v>
      </c>
      <c r="E45" s="20">
        <f t="shared" ref="E45:E57" si="14">C45*D45</f>
        <v>133.975</v>
      </c>
      <c r="F45" s="20">
        <f t="shared" si="2"/>
        <v>133.975</v>
      </c>
      <c r="G45" s="20">
        <v>92.9954</v>
      </c>
      <c r="H45" s="20">
        <f t="shared" si="3"/>
        <v>40.9796</v>
      </c>
      <c r="I45" s="56">
        <f t="shared" ref="I45:I57" si="15">H45</f>
        <v>40.9796</v>
      </c>
      <c r="J45" s="54"/>
    </row>
    <row r="46" s="1" customFormat="1" spans="1:10">
      <c r="A46" s="19" t="s">
        <v>51</v>
      </c>
      <c r="B46" s="20"/>
      <c r="C46" s="13">
        <f t="shared" si="4"/>
        <v>0</v>
      </c>
      <c r="D46" s="21">
        <v>0.5</v>
      </c>
      <c r="E46" s="20">
        <f t="shared" si="14"/>
        <v>0</v>
      </c>
      <c r="F46" s="20">
        <f t="shared" si="2"/>
        <v>0</v>
      </c>
      <c r="G46" s="20"/>
      <c r="H46" s="20">
        <f t="shared" si="3"/>
        <v>0</v>
      </c>
      <c r="I46" s="56">
        <f t="shared" si="15"/>
        <v>0</v>
      </c>
      <c r="J46" s="54"/>
    </row>
    <row r="47" s="1" customFormat="1" spans="1:10">
      <c r="A47" s="19" t="s">
        <v>52</v>
      </c>
      <c r="B47" s="20"/>
      <c r="C47" s="13">
        <f t="shared" si="4"/>
        <v>0</v>
      </c>
      <c r="D47" s="21">
        <v>0.5</v>
      </c>
      <c r="E47" s="20">
        <f t="shared" si="14"/>
        <v>0</v>
      </c>
      <c r="F47" s="20">
        <f t="shared" si="2"/>
        <v>0</v>
      </c>
      <c r="G47" s="20"/>
      <c r="H47" s="20">
        <f t="shared" si="3"/>
        <v>0</v>
      </c>
      <c r="I47" s="56">
        <f t="shared" si="15"/>
        <v>0</v>
      </c>
      <c r="J47" s="54"/>
    </row>
    <row r="48" s="1" customFormat="1" spans="1:10">
      <c r="A48" s="19" t="s">
        <v>141</v>
      </c>
      <c r="B48" s="20"/>
      <c r="C48" s="13">
        <f t="shared" si="4"/>
        <v>0</v>
      </c>
      <c r="D48" s="21">
        <v>0.5</v>
      </c>
      <c r="E48" s="20">
        <f t="shared" si="14"/>
        <v>0</v>
      </c>
      <c r="F48" s="20">
        <f t="shared" si="2"/>
        <v>0</v>
      </c>
      <c r="G48" s="20"/>
      <c r="H48" s="20">
        <f t="shared" si="3"/>
        <v>0</v>
      </c>
      <c r="I48" s="56">
        <f t="shared" si="15"/>
        <v>0</v>
      </c>
      <c r="J48" s="54"/>
    </row>
    <row r="49" s="1" customFormat="1" spans="1:10">
      <c r="A49" s="19" t="s">
        <v>53</v>
      </c>
      <c r="B49" s="20"/>
      <c r="C49" s="13">
        <f t="shared" si="4"/>
        <v>0</v>
      </c>
      <c r="D49" s="21">
        <v>0.5</v>
      </c>
      <c r="E49" s="20">
        <f t="shared" si="14"/>
        <v>0</v>
      </c>
      <c r="F49" s="20">
        <f t="shared" si="2"/>
        <v>0</v>
      </c>
      <c r="G49" s="20"/>
      <c r="H49" s="20">
        <f t="shared" si="3"/>
        <v>0</v>
      </c>
      <c r="I49" s="56">
        <f t="shared" si="15"/>
        <v>0</v>
      </c>
      <c r="J49" s="54"/>
    </row>
    <row r="50" s="1" customFormat="1" spans="1:10">
      <c r="A50" s="19" t="s">
        <v>54</v>
      </c>
      <c r="B50" s="20">
        <f>984+2359+1277-4</f>
        <v>4616</v>
      </c>
      <c r="C50" s="13">
        <f t="shared" si="4"/>
        <v>106.168</v>
      </c>
      <c r="D50" s="21">
        <v>0.6</v>
      </c>
      <c r="E50" s="20">
        <f t="shared" si="14"/>
        <v>63.7008</v>
      </c>
      <c r="F50" s="20">
        <f t="shared" si="2"/>
        <v>42.4672</v>
      </c>
      <c r="G50" s="20">
        <v>33.006</v>
      </c>
      <c r="H50" s="20">
        <f t="shared" si="3"/>
        <v>30.6948</v>
      </c>
      <c r="I50" s="56">
        <f t="shared" si="15"/>
        <v>30.6948</v>
      </c>
      <c r="J50" s="54"/>
    </row>
    <row r="51" s="1" customFormat="1" spans="1:10">
      <c r="A51" s="19" t="s">
        <v>55</v>
      </c>
      <c r="B51" s="20"/>
      <c r="C51" s="13">
        <f t="shared" si="4"/>
        <v>0</v>
      </c>
      <c r="D51" s="21">
        <v>0.85</v>
      </c>
      <c r="E51" s="20">
        <f t="shared" si="14"/>
        <v>0</v>
      </c>
      <c r="F51" s="20">
        <f t="shared" si="2"/>
        <v>0</v>
      </c>
      <c r="G51" s="20"/>
      <c r="H51" s="20">
        <f t="shared" si="3"/>
        <v>0</v>
      </c>
      <c r="I51" s="56">
        <f t="shared" si="15"/>
        <v>0</v>
      </c>
      <c r="J51" s="54"/>
    </row>
    <row r="52" s="1" customFormat="1" spans="1:10">
      <c r="A52" s="19" t="s">
        <v>56</v>
      </c>
      <c r="B52" s="20"/>
      <c r="C52" s="13">
        <f t="shared" si="4"/>
        <v>0</v>
      </c>
      <c r="D52" s="21">
        <v>0.9</v>
      </c>
      <c r="E52" s="20">
        <f t="shared" si="14"/>
        <v>0</v>
      </c>
      <c r="F52" s="20">
        <f t="shared" si="2"/>
        <v>0</v>
      </c>
      <c r="G52" s="20"/>
      <c r="H52" s="20">
        <f t="shared" si="3"/>
        <v>0</v>
      </c>
      <c r="I52" s="56">
        <f t="shared" si="15"/>
        <v>0</v>
      </c>
      <c r="J52" s="54"/>
    </row>
    <row r="53" s="1" customFormat="1" spans="1:10">
      <c r="A53" s="19" t="s">
        <v>57</v>
      </c>
      <c r="B53" s="20"/>
      <c r="C53" s="13">
        <f t="shared" si="4"/>
        <v>0</v>
      </c>
      <c r="D53" s="21">
        <v>0.85</v>
      </c>
      <c r="E53" s="20">
        <f t="shared" si="14"/>
        <v>0</v>
      </c>
      <c r="F53" s="20">
        <f t="shared" si="2"/>
        <v>0</v>
      </c>
      <c r="G53" s="20"/>
      <c r="H53" s="20">
        <f t="shared" si="3"/>
        <v>0</v>
      </c>
      <c r="I53" s="56">
        <f t="shared" si="15"/>
        <v>0</v>
      </c>
      <c r="J53" s="54"/>
    </row>
    <row r="54" s="1" customFormat="1" spans="1:10">
      <c r="A54" s="19" t="s">
        <v>58</v>
      </c>
      <c r="B54" s="20"/>
      <c r="C54" s="13">
        <f t="shared" si="4"/>
        <v>0</v>
      </c>
      <c r="D54" s="21">
        <v>0.5</v>
      </c>
      <c r="E54" s="20">
        <f t="shared" si="14"/>
        <v>0</v>
      </c>
      <c r="F54" s="20">
        <f t="shared" si="2"/>
        <v>0</v>
      </c>
      <c r="G54" s="20"/>
      <c r="H54" s="20">
        <f t="shared" si="3"/>
        <v>0</v>
      </c>
      <c r="I54" s="56">
        <f t="shared" si="15"/>
        <v>0</v>
      </c>
      <c r="J54" s="54"/>
    </row>
    <row r="55" s="1" customFormat="1" spans="1:10">
      <c r="A55" s="19" t="s">
        <v>59</v>
      </c>
      <c r="B55" s="20"/>
      <c r="C55" s="13">
        <f t="shared" si="4"/>
        <v>0</v>
      </c>
      <c r="D55" s="21">
        <v>0.5</v>
      </c>
      <c r="E55" s="20">
        <f t="shared" si="14"/>
        <v>0</v>
      </c>
      <c r="F55" s="20">
        <f t="shared" si="2"/>
        <v>0</v>
      </c>
      <c r="G55" s="20"/>
      <c r="H55" s="20">
        <f t="shared" si="3"/>
        <v>0</v>
      </c>
      <c r="I55" s="56">
        <f t="shared" si="15"/>
        <v>0</v>
      </c>
      <c r="J55" s="54"/>
    </row>
    <row r="56" s="1" customFormat="1" spans="1:10">
      <c r="A56" s="19" t="s">
        <v>60</v>
      </c>
      <c r="B56" s="20"/>
      <c r="C56" s="13">
        <f t="shared" si="4"/>
        <v>0</v>
      </c>
      <c r="D56" s="21">
        <v>0.8</v>
      </c>
      <c r="E56" s="20">
        <f t="shared" si="14"/>
        <v>0</v>
      </c>
      <c r="F56" s="20">
        <f t="shared" si="2"/>
        <v>0</v>
      </c>
      <c r="G56" s="20"/>
      <c r="H56" s="20">
        <f t="shared" si="3"/>
        <v>0</v>
      </c>
      <c r="I56" s="56">
        <f t="shared" si="15"/>
        <v>0</v>
      </c>
      <c r="J56" s="54"/>
    </row>
    <row r="57" s="1" customFormat="1" spans="1:10">
      <c r="A57" s="19" t="s">
        <v>61</v>
      </c>
      <c r="B57" s="20"/>
      <c r="C57" s="13">
        <f t="shared" si="4"/>
        <v>0</v>
      </c>
      <c r="D57" s="21">
        <v>0.5</v>
      </c>
      <c r="E57" s="20">
        <f t="shared" si="14"/>
        <v>0</v>
      </c>
      <c r="F57" s="20">
        <f t="shared" si="2"/>
        <v>0</v>
      </c>
      <c r="G57" s="20"/>
      <c r="H57" s="20">
        <f t="shared" si="3"/>
        <v>0</v>
      </c>
      <c r="I57" s="56">
        <f t="shared" si="15"/>
        <v>0</v>
      </c>
      <c r="J57" s="54"/>
    </row>
    <row r="58" s="1" customFormat="1" spans="1:10">
      <c r="A58" s="29" t="s">
        <v>62</v>
      </c>
      <c r="B58" s="24">
        <f t="shared" ref="B58:G58" si="16">SUM(B59:B75)</f>
        <v>11523</v>
      </c>
      <c r="C58" s="17">
        <f t="shared" si="4"/>
        <v>265.029</v>
      </c>
      <c r="D58" s="30"/>
      <c r="E58" s="24">
        <f t="shared" si="16"/>
        <v>133.92325</v>
      </c>
      <c r="F58" s="24">
        <f t="shared" si="2"/>
        <v>131.10575</v>
      </c>
      <c r="G58" s="24">
        <f t="shared" si="16"/>
        <v>23.09775</v>
      </c>
      <c r="H58" s="48">
        <f t="shared" si="3"/>
        <v>110.8255</v>
      </c>
      <c r="I58" s="57">
        <v>112</v>
      </c>
      <c r="J58" s="54"/>
    </row>
    <row r="59" s="1" customFormat="1" spans="1:10">
      <c r="A59" s="31" t="s">
        <v>63</v>
      </c>
      <c r="B59" s="32">
        <v>4107</v>
      </c>
      <c r="C59" s="13">
        <f t="shared" si="4"/>
        <v>94.461</v>
      </c>
      <c r="D59" s="33">
        <v>0.5</v>
      </c>
      <c r="E59" s="20">
        <f t="shared" ref="E59:E75" si="17">C59*D59</f>
        <v>47.2305</v>
      </c>
      <c r="F59" s="20">
        <f t="shared" si="2"/>
        <v>47.2305</v>
      </c>
      <c r="G59" s="20">
        <f>12.537</f>
        <v>12.537</v>
      </c>
      <c r="H59" s="20">
        <f t="shared" si="3"/>
        <v>34.6935</v>
      </c>
      <c r="I59" s="56">
        <f t="shared" ref="I59:I75" si="18">H59</f>
        <v>34.6935</v>
      </c>
      <c r="J59" s="54"/>
    </row>
    <row r="60" s="1" customFormat="1" spans="1:10">
      <c r="A60" s="19" t="s">
        <v>64</v>
      </c>
      <c r="B60" s="20"/>
      <c r="C60" s="13">
        <f t="shared" si="4"/>
        <v>0</v>
      </c>
      <c r="D60" s="33">
        <v>0.5</v>
      </c>
      <c r="E60" s="20">
        <f t="shared" si="17"/>
        <v>0</v>
      </c>
      <c r="F60" s="20">
        <f t="shared" si="2"/>
        <v>0</v>
      </c>
      <c r="G60" s="20"/>
      <c r="H60" s="20">
        <f t="shared" si="3"/>
        <v>0</v>
      </c>
      <c r="I60" s="56">
        <f t="shared" si="18"/>
        <v>0</v>
      </c>
      <c r="J60" s="54"/>
    </row>
    <row r="61" s="1" customFormat="1" spans="1:10">
      <c r="A61" s="34" t="s">
        <v>142</v>
      </c>
      <c r="B61" s="20"/>
      <c r="C61" s="13">
        <f t="shared" si="4"/>
        <v>0</v>
      </c>
      <c r="D61" s="33">
        <v>0.5</v>
      </c>
      <c r="E61" s="20">
        <f t="shared" si="17"/>
        <v>0</v>
      </c>
      <c r="F61" s="20">
        <f t="shared" si="2"/>
        <v>0</v>
      </c>
      <c r="G61" s="20"/>
      <c r="H61" s="20">
        <f t="shared" si="3"/>
        <v>0</v>
      </c>
      <c r="I61" s="56">
        <f t="shared" si="18"/>
        <v>0</v>
      </c>
      <c r="J61" s="54"/>
    </row>
    <row r="62" s="1" customFormat="1" spans="1:10">
      <c r="A62" s="35" t="s">
        <v>73</v>
      </c>
      <c r="B62" s="20"/>
      <c r="C62" s="13">
        <f t="shared" si="4"/>
        <v>0</v>
      </c>
      <c r="D62" s="33">
        <v>0.5</v>
      </c>
      <c r="E62" s="20">
        <f t="shared" si="17"/>
        <v>0</v>
      </c>
      <c r="F62" s="20">
        <f t="shared" si="2"/>
        <v>0</v>
      </c>
      <c r="G62" s="20"/>
      <c r="H62" s="20">
        <f t="shared" si="3"/>
        <v>0</v>
      </c>
      <c r="I62" s="56">
        <f t="shared" si="18"/>
        <v>0</v>
      </c>
      <c r="J62" s="54"/>
    </row>
    <row r="63" s="1" customFormat="1" spans="1:10">
      <c r="A63" s="23" t="s">
        <v>65</v>
      </c>
      <c r="B63" s="20"/>
      <c r="C63" s="13">
        <f t="shared" si="4"/>
        <v>0</v>
      </c>
      <c r="D63" s="33">
        <v>0.85</v>
      </c>
      <c r="E63" s="20">
        <f t="shared" si="17"/>
        <v>0</v>
      </c>
      <c r="F63" s="20">
        <f t="shared" si="2"/>
        <v>0</v>
      </c>
      <c r="G63" s="20"/>
      <c r="H63" s="20">
        <f t="shared" si="3"/>
        <v>0</v>
      </c>
      <c r="I63" s="56">
        <f t="shared" si="18"/>
        <v>0</v>
      </c>
      <c r="J63" s="54"/>
    </row>
    <row r="64" s="1" customFormat="1" spans="1:10">
      <c r="A64" s="23" t="s">
        <v>66</v>
      </c>
      <c r="B64" s="20"/>
      <c r="C64" s="13">
        <f t="shared" si="4"/>
        <v>0</v>
      </c>
      <c r="D64" s="33">
        <v>0.6</v>
      </c>
      <c r="E64" s="20">
        <f t="shared" si="17"/>
        <v>0</v>
      </c>
      <c r="F64" s="20">
        <f t="shared" si="2"/>
        <v>0</v>
      </c>
      <c r="G64" s="20"/>
      <c r="H64" s="20">
        <f t="shared" si="3"/>
        <v>0</v>
      </c>
      <c r="I64" s="56">
        <f t="shared" si="18"/>
        <v>0</v>
      </c>
      <c r="J64" s="54"/>
    </row>
    <row r="65" s="1" customFormat="1" spans="1:10">
      <c r="A65" s="23" t="s">
        <v>67</v>
      </c>
      <c r="B65" s="20"/>
      <c r="C65" s="13">
        <f t="shared" si="4"/>
        <v>0</v>
      </c>
      <c r="D65" s="33">
        <v>0.85</v>
      </c>
      <c r="E65" s="20">
        <f t="shared" si="17"/>
        <v>0</v>
      </c>
      <c r="F65" s="20">
        <f t="shared" si="2"/>
        <v>0</v>
      </c>
      <c r="G65" s="20"/>
      <c r="H65" s="20">
        <f t="shared" si="3"/>
        <v>0</v>
      </c>
      <c r="I65" s="56">
        <f t="shared" si="18"/>
        <v>0</v>
      </c>
      <c r="J65" s="54"/>
    </row>
    <row r="66" s="1" customFormat="1" spans="1:10">
      <c r="A66" s="23" t="s">
        <v>68</v>
      </c>
      <c r="B66" s="20"/>
      <c r="C66" s="13">
        <f t="shared" si="4"/>
        <v>0</v>
      </c>
      <c r="D66" s="33">
        <v>0.6</v>
      </c>
      <c r="E66" s="20">
        <f t="shared" si="17"/>
        <v>0</v>
      </c>
      <c r="F66" s="20">
        <f t="shared" si="2"/>
        <v>0</v>
      </c>
      <c r="G66" s="20"/>
      <c r="H66" s="20">
        <f t="shared" si="3"/>
        <v>0</v>
      </c>
      <c r="I66" s="56">
        <f t="shared" si="18"/>
        <v>0</v>
      </c>
      <c r="J66" s="54"/>
    </row>
    <row r="67" s="1" customFormat="1" spans="1:10">
      <c r="A67" s="23" t="s">
        <v>69</v>
      </c>
      <c r="B67" s="20"/>
      <c r="C67" s="13">
        <f t="shared" si="4"/>
        <v>0</v>
      </c>
      <c r="D67" s="33">
        <v>0.8</v>
      </c>
      <c r="E67" s="20">
        <f t="shared" si="17"/>
        <v>0</v>
      </c>
      <c r="F67" s="20">
        <f t="shared" si="2"/>
        <v>0</v>
      </c>
      <c r="G67" s="20"/>
      <c r="H67" s="20">
        <f t="shared" si="3"/>
        <v>0</v>
      </c>
      <c r="I67" s="56">
        <f t="shared" si="18"/>
        <v>0</v>
      </c>
      <c r="J67" s="54"/>
    </row>
    <row r="68" s="1" customFormat="1" spans="1:10">
      <c r="A68" s="23" t="s">
        <v>71</v>
      </c>
      <c r="B68" s="20">
        <v>175</v>
      </c>
      <c r="C68" s="13">
        <f t="shared" si="4"/>
        <v>4.025</v>
      </c>
      <c r="D68" s="33">
        <v>0.85</v>
      </c>
      <c r="E68" s="20">
        <f t="shared" si="17"/>
        <v>3.42125</v>
      </c>
      <c r="F68" s="20">
        <f t="shared" si="2"/>
        <v>0.60375</v>
      </c>
      <c r="G68" s="20">
        <v>0.65075</v>
      </c>
      <c r="H68" s="20">
        <f t="shared" si="3"/>
        <v>2.7705</v>
      </c>
      <c r="I68" s="56">
        <f t="shared" si="18"/>
        <v>2.7705</v>
      </c>
      <c r="J68" s="54"/>
    </row>
    <row r="69" s="1" customFormat="1" spans="1:10">
      <c r="A69" s="23" t="s">
        <v>70</v>
      </c>
      <c r="B69" s="20"/>
      <c r="C69" s="13">
        <f t="shared" si="4"/>
        <v>0</v>
      </c>
      <c r="D69" s="33">
        <v>0.85</v>
      </c>
      <c r="E69" s="20">
        <f t="shared" si="17"/>
        <v>0</v>
      </c>
      <c r="F69" s="20">
        <f t="shared" si="2"/>
        <v>0</v>
      </c>
      <c r="G69" s="20"/>
      <c r="H69" s="20">
        <f t="shared" si="3"/>
        <v>0</v>
      </c>
      <c r="I69" s="56">
        <f t="shared" si="18"/>
        <v>0</v>
      </c>
      <c r="J69" s="54"/>
    </row>
    <row r="70" s="1" customFormat="1" spans="1:10">
      <c r="A70" s="23" t="s">
        <v>72</v>
      </c>
      <c r="B70" s="20"/>
      <c r="C70" s="13">
        <f t="shared" si="4"/>
        <v>0</v>
      </c>
      <c r="D70" s="33">
        <v>0.9</v>
      </c>
      <c r="E70" s="20">
        <f t="shared" si="17"/>
        <v>0</v>
      </c>
      <c r="F70" s="20">
        <f t="shared" si="2"/>
        <v>0</v>
      </c>
      <c r="G70" s="20"/>
      <c r="H70" s="20">
        <f t="shared" si="3"/>
        <v>0</v>
      </c>
      <c r="I70" s="56">
        <f t="shared" si="18"/>
        <v>0</v>
      </c>
      <c r="J70" s="54"/>
    </row>
    <row r="71" s="1" customFormat="1" spans="1:10">
      <c r="A71" s="23" t="s">
        <v>143</v>
      </c>
      <c r="B71" s="20"/>
      <c r="C71" s="13">
        <f t="shared" si="4"/>
        <v>0</v>
      </c>
      <c r="D71" s="33">
        <v>0.5</v>
      </c>
      <c r="E71" s="20">
        <f t="shared" si="17"/>
        <v>0</v>
      </c>
      <c r="F71" s="20">
        <f t="shared" ref="F71:F109" si="19">C71-E71</f>
        <v>0</v>
      </c>
      <c r="G71" s="20"/>
      <c r="H71" s="20">
        <f t="shared" ref="H71:H109" si="20">E71-G71</f>
        <v>0</v>
      </c>
      <c r="I71" s="56">
        <f t="shared" si="18"/>
        <v>0</v>
      </c>
      <c r="J71" s="54"/>
    </row>
    <row r="72" s="1" customFormat="1" spans="1:10">
      <c r="A72" s="23" t="s">
        <v>144</v>
      </c>
      <c r="B72" s="20">
        <v>1789</v>
      </c>
      <c r="C72" s="13">
        <f t="shared" ref="C72:C109" si="21">B72*0.1*0.23</f>
        <v>41.147</v>
      </c>
      <c r="D72" s="33">
        <v>0.5</v>
      </c>
      <c r="E72" s="20">
        <f t="shared" si="17"/>
        <v>20.5735</v>
      </c>
      <c r="F72" s="20">
        <f t="shared" si="19"/>
        <v>20.5735</v>
      </c>
      <c r="G72" s="20">
        <f>0+9.91</f>
        <v>9.91</v>
      </c>
      <c r="H72" s="20">
        <f t="shared" si="20"/>
        <v>10.6635</v>
      </c>
      <c r="I72" s="56">
        <f t="shared" si="18"/>
        <v>10.6635</v>
      </c>
      <c r="J72" s="54"/>
    </row>
    <row r="73" s="1" customFormat="1" spans="1:10">
      <c r="A73" s="23" t="s">
        <v>145</v>
      </c>
      <c r="B73" s="20"/>
      <c r="C73" s="13">
        <f t="shared" si="21"/>
        <v>0</v>
      </c>
      <c r="D73" s="33">
        <v>0.5</v>
      </c>
      <c r="E73" s="20">
        <f t="shared" si="17"/>
        <v>0</v>
      </c>
      <c r="F73" s="20">
        <f t="shared" si="19"/>
        <v>0</v>
      </c>
      <c r="G73" s="20"/>
      <c r="H73" s="20">
        <f t="shared" si="20"/>
        <v>0</v>
      </c>
      <c r="I73" s="56">
        <f t="shared" si="18"/>
        <v>0</v>
      </c>
      <c r="J73" s="54"/>
    </row>
    <row r="74" s="1" customFormat="1" spans="1:10">
      <c r="A74" s="23" t="s">
        <v>146</v>
      </c>
      <c r="B74" s="20"/>
      <c r="C74" s="13">
        <f t="shared" si="21"/>
        <v>0</v>
      </c>
      <c r="D74" s="33">
        <v>0.5</v>
      </c>
      <c r="E74" s="20">
        <f t="shared" si="17"/>
        <v>0</v>
      </c>
      <c r="F74" s="20">
        <f t="shared" si="19"/>
        <v>0</v>
      </c>
      <c r="G74" s="20"/>
      <c r="H74" s="20">
        <f t="shared" si="20"/>
        <v>0</v>
      </c>
      <c r="I74" s="56">
        <f t="shared" si="18"/>
        <v>0</v>
      </c>
      <c r="J74" s="54"/>
    </row>
    <row r="75" s="1" customFormat="1" spans="1:10">
      <c r="A75" s="23" t="s">
        <v>147</v>
      </c>
      <c r="B75" s="20">
        <v>5452</v>
      </c>
      <c r="C75" s="13">
        <f t="shared" si="21"/>
        <v>125.396</v>
      </c>
      <c r="D75" s="33">
        <v>0.5</v>
      </c>
      <c r="E75" s="20">
        <f t="shared" si="17"/>
        <v>62.698</v>
      </c>
      <c r="F75" s="20">
        <f t="shared" si="19"/>
        <v>62.698</v>
      </c>
      <c r="G75" s="20">
        <v>0</v>
      </c>
      <c r="H75" s="20">
        <f t="shared" si="20"/>
        <v>62.698</v>
      </c>
      <c r="I75" s="56">
        <f t="shared" si="18"/>
        <v>62.698</v>
      </c>
      <c r="J75" s="54"/>
    </row>
    <row r="76" s="1" customFormat="1" ht="33" spans="1:10">
      <c r="A76" s="15" t="s">
        <v>76</v>
      </c>
      <c r="B76" s="24">
        <f t="shared" ref="B76:G76" si="22">SUM(B77:B87)</f>
        <v>5899</v>
      </c>
      <c r="C76" s="17">
        <f t="shared" si="21"/>
        <v>135.677</v>
      </c>
      <c r="D76" s="58"/>
      <c r="E76" s="24">
        <f t="shared" si="22"/>
        <v>110.23325</v>
      </c>
      <c r="F76" s="24">
        <f t="shared" si="19"/>
        <v>25.44375</v>
      </c>
      <c r="G76" s="24">
        <f t="shared" si="22"/>
        <v>104.286</v>
      </c>
      <c r="H76" s="24">
        <f t="shared" si="20"/>
        <v>5.94725000000001</v>
      </c>
      <c r="I76" s="57">
        <f>SUM(I77:I87)</f>
        <v>12.6122</v>
      </c>
      <c r="J76" s="62" t="s">
        <v>236</v>
      </c>
    </row>
    <row r="77" s="1" customFormat="1" spans="1:10">
      <c r="A77" s="19" t="s">
        <v>77</v>
      </c>
      <c r="B77" s="20">
        <f>3406+1024-2</f>
        <v>4428</v>
      </c>
      <c r="C77" s="13">
        <f t="shared" si="21"/>
        <v>101.844</v>
      </c>
      <c r="D77" s="33">
        <v>0.8</v>
      </c>
      <c r="E77" s="20">
        <f t="shared" ref="E77:E87" si="23">C77*D77</f>
        <v>81.4752</v>
      </c>
      <c r="F77" s="20">
        <f t="shared" si="19"/>
        <v>20.3688</v>
      </c>
      <c r="G77" s="20">
        <v>68.863</v>
      </c>
      <c r="H77" s="20">
        <f t="shared" si="20"/>
        <v>12.6122</v>
      </c>
      <c r="I77" s="56">
        <f t="shared" ref="I77:I81" si="24">H77</f>
        <v>12.6122</v>
      </c>
      <c r="J77" s="54"/>
    </row>
    <row r="78" s="1" customFormat="1" spans="1:10">
      <c r="A78" s="19" t="s">
        <v>78</v>
      </c>
      <c r="B78" s="20"/>
      <c r="C78" s="13">
        <f t="shared" si="21"/>
        <v>0</v>
      </c>
      <c r="D78" s="33">
        <v>0.8</v>
      </c>
      <c r="E78" s="20">
        <f t="shared" si="23"/>
        <v>0</v>
      </c>
      <c r="F78" s="20">
        <f t="shared" si="19"/>
        <v>0</v>
      </c>
      <c r="G78" s="20"/>
      <c r="H78" s="20">
        <f t="shared" si="20"/>
        <v>0</v>
      </c>
      <c r="I78" s="56">
        <f t="shared" si="24"/>
        <v>0</v>
      </c>
      <c r="J78" s="54"/>
    </row>
    <row r="79" s="1" customFormat="1" spans="1:10">
      <c r="A79" s="34" t="s">
        <v>148</v>
      </c>
      <c r="B79" s="20"/>
      <c r="C79" s="13">
        <f t="shared" si="21"/>
        <v>0</v>
      </c>
      <c r="D79" s="33">
        <v>0.8</v>
      </c>
      <c r="E79" s="20">
        <f t="shared" si="23"/>
        <v>0</v>
      </c>
      <c r="F79" s="20">
        <f t="shared" si="19"/>
        <v>0</v>
      </c>
      <c r="G79" s="20"/>
      <c r="H79" s="20">
        <f t="shared" si="20"/>
        <v>0</v>
      </c>
      <c r="I79" s="56">
        <f t="shared" si="24"/>
        <v>0</v>
      </c>
      <c r="J79" s="54"/>
    </row>
    <row r="80" s="1" customFormat="1" spans="1:10">
      <c r="A80" s="19" t="s">
        <v>84</v>
      </c>
      <c r="B80" s="20"/>
      <c r="C80" s="13">
        <f t="shared" si="21"/>
        <v>0</v>
      </c>
      <c r="D80" s="33">
        <v>0.85</v>
      </c>
      <c r="E80" s="20">
        <f t="shared" si="23"/>
        <v>0</v>
      </c>
      <c r="F80" s="20">
        <f t="shared" si="19"/>
        <v>0</v>
      </c>
      <c r="G80" s="20"/>
      <c r="H80" s="20">
        <f t="shared" si="20"/>
        <v>0</v>
      </c>
      <c r="I80" s="56">
        <f t="shared" si="24"/>
        <v>0</v>
      </c>
      <c r="J80" s="54"/>
    </row>
    <row r="81" s="1" customFormat="1" spans="1:10">
      <c r="A81" s="19" t="s">
        <v>85</v>
      </c>
      <c r="B81" s="20"/>
      <c r="C81" s="13">
        <f t="shared" si="21"/>
        <v>0</v>
      </c>
      <c r="D81" s="33">
        <v>0.85</v>
      </c>
      <c r="E81" s="20">
        <f t="shared" si="23"/>
        <v>0</v>
      </c>
      <c r="F81" s="20">
        <f t="shared" si="19"/>
        <v>0</v>
      </c>
      <c r="G81" s="20"/>
      <c r="H81" s="20">
        <f t="shared" si="20"/>
        <v>0</v>
      </c>
      <c r="I81" s="56">
        <f t="shared" si="24"/>
        <v>0</v>
      </c>
      <c r="J81" s="54"/>
    </row>
    <row r="82" s="1" customFormat="1" spans="1:10">
      <c r="A82" s="19" t="s">
        <v>86</v>
      </c>
      <c r="B82" s="20">
        <f>829+642</f>
        <v>1471</v>
      </c>
      <c r="C82" s="13">
        <f t="shared" si="21"/>
        <v>33.833</v>
      </c>
      <c r="D82" s="33">
        <v>0.85</v>
      </c>
      <c r="E82" s="20">
        <f t="shared" si="23"/>
        <v>28.75805</v>
      </c>
      <c r="F82" s="20">
        <f t="shared" si="19"/>
        <v>5.07495</v>
      </c>
      <c r="G82" s="20">
        <f>13.833+21.59</f>
        <v>35.423</v>
      </c>
      <c r="H82" s="60">
        <f t="shared" si="20"/>
        <v>-6.66495</v>
      </c>
      <c r="I82" s="63">
        <v>0</v>
      </c>
      <c r="J82" s="62" t="s">
        <v>237</v>
      </c>
    </row>
    <row r="83" s="1" customFormat="1" spans="1:10">
      <c r="A83" s="19" t="s">
        <v>79</v>
      </c>
      <c r="B83" s="20"/>
      <c r="C83" s="13">
        <f t="shared" si="21"/>
        <v>0</v>
      </c>
      <c r="D83" s="33">
        <v>0.85</v>
      </c>
      <c r="E83" s="20">
        <f t="shared" si="23"/>
        <v>0</v>
      </c>
      <c r="F83" s="20">
        <f t="shared" si="19"/>
        <v>0</v>
      </c>
      <c r="G83" s="20"/>
      <c r="H83" s="20">
        <f t="shared" si="20"/>
        <v>0</v>
      </c>
      <c r="I83" s="56">
        <f t="shared" ref="I83:I87" si="25">H83</f>
        <v>0</v>
      </c>
      <c r="J83" s="54"/>
    </row>
    <row r="84" s="1" customFormat="1" spans="1:10">
      <c r="A84" s="19" t="s">
        <v>80</v>
      </c>
      <c r="B84" s="20"/>
      <c r="C84" s="13">
        <f t="shared" si="21"/>
        <v>0</v>
      </c>
      <c r="D84" s="33">
        <v>0.85</v>
      </c>
      <c r="E84" s="20">
        <f t="shared" si="23"/>
        <v>0</v>
      </c>
      <c r="F84" s="20">
        <f t="shared" si="19"/>
        <v>0</v>
      </c>
      <c r="G84" s="20"/>
      <c r="H84" s="20">
        <f t="shared" si="20"/>
        <v>0</v>
      </c>
      <c r="I84" s="56">
        <f t="shared" si="25"/>
        <v>0</v>
      </c>
      <c r="J84" s="54"/>
    </row>
    <row r="85" s="1" customFormat="1" spans="1:10">
      <c r="A85" s="19" t="s">
        <v>81</v>
      </c>
      <c r="B85" s="20"/>
      <c r="C85" s="13">
        <f t="shared" si="21"/>
        <v>0</v>
      </c>
      <c r="D85" s="33">
        <v>0.9</v>
      </c>
      <c r="E85" s="20">
        <f t="shared" si="23"/>
        <v>0</v>
      </c>
      <c r="F85" s="20">
        <f t="shared" si="19"/>
        <v>0</v>
      </c>
      <c r="G85" s="20"/>
      <c r="H85" s="20">
        <f t="shared" si="20"/>
        <v>0</v>
      </c>
      <c r="I85" s="56">
        <f t="shared" si="25"/>
        <v>0</v>
      </c>
      <c r="J85" s="54"/>
    </row>
    <row r="86" s="1" customFormat="1" spans="1:10">
      <c r="A86" s="19" t="s">
        <v>82</v>
      </c>
      <c r="B86" s="20"/>
      <c r="C86" s="13">
        <f t="shared" si="21"/>
        <v>0</v>
      </c>
      <c r="D86" s="33">
        <v>0.85</v>
      </c>
      <c r="E86" s="20">
        <f t="shared" si="23"/>
        <v>0</v>
      </c>
      <c r="F86" s="20">
        <f t="shared" si="19"/>
        <v>0</v>
      </c>
      <c r="G86" s="20"/>
      <c r="H86" s="20">
        <f t="shared" si="20"/>
        <v>0</v>
      </c>
      <c r="I86" s="56">
        <f t="shared" si="25"/>
        <v>0</v>
      </c>
      <c r="J86" s="54"/>
    </row>
    <row r="87" s="1" customFormat="1" spans="1:10">
      <c r="A87" s="19" t="s">
        <v>83</v>
      </c>
      <c r="B87" s="20"/>
      <c r="C87" s="13">
        <f t="shared" si="21"/>
        <v>0</v>
      </c>
      <c r="D87" s="33">
        <v>0.85</v>
      </c>
      <c r="E87" s="20">
        <f t="shared" si="23"/>
        <v>0</v>
      </c>
      <c r="F87" s="20">
        <f t="shared" si="19"/>
        <v>0</v>
      </c>
      <c r="G87" s="20"/>
      <c r="H87" s="20">
        <f t="shared" si="20"/>
        <v>0</v>
      </c>
      <c r="I87" s="56">
        <f t="shared" si="25"/>
        <v>0</v>
      </c>
      <c r="J87" s="54"/>
    </row>
    <row r="88" s="1" customFormat="1" spans="1:10">
      <c r="A88" s="15" t="s">
        <v>87</v>
      </c>
      <c r="B88" s="24">
        <f t="shared" ref="B88:G88" si="26">SUM(B89:B96)</f>
        <v>14255</v>
      </c>
      <c r="C88" s="17">
        <f t="shared" si="21"/>
        <v>327.865</v>
      </c>
      <c r="D88" s="58"/>
      <c r="E88" s="24">
        <f t="shared" si="26"/>
        <v>196.719</v>
      </c>
      <c r="F88" s="24">
        <f t="shared" si="19"/>
        <v>131.146</v>
      </c>
      <c r="G88" s="24">
        <f t="shared" si="26"/>
        <v>27.144</v>
      </c>
      <c r="H88" s="24">
        <f t="shared" si="20"/>
        <v>169.575</v>
      </c>
      <c r="I88" s="57">
        <f>SUM(I89:I96)</f>
        <v>169.575</v>
      </c>
      <c r="J88" s="54"/>
    </row>
    <row r="89" s="1" customFormat="1" spans="1:10">
      <c r="A89" s="19" t="s">
        <v>88</v>
      </c>
      <c r="B89" s="20">
        <f>14256-1</f>
        <v>14255</v>
      </c>
      <c r="C89" s="13">
        <f t="shared" si="21"/>
        <v>327.865</v>
      </c>
      <c r="D89" s="33">
        <v>0.6</v>
      </c>
      <c r="E89" s="20">
        <f t="shared" ref="E89:E96" si="27">C89*D89</f>
        <v>196.719</v>
      </c>
      <c r="F89" s="20">
        <f t="shared" si="19"/>
        <v>131.146</v>
      </c>
      <c r="G89" s="20">
        <v>27.144</v>
      </c>
      <c r="H89" s="20">
        <f t="shared" si="20"/>
        <v>169.575</v>
      </c>
      <c r="I89" s="56">
        <f t="shared" ref="I89:I96" si="28">H89</f>
        <v>169.575</v>
      </c>
      <c r="J89" s="54"/>
    </row>
    <row r="90" s="1" customFormat="1" spans="1:10">
      <c r="A90" s="19" t="s">
        <v>89</v>
      </c>
      <c r="B90" s="20"/>
      <c r="C90" s="13">
        <f t="shared" si="21"/>
        <v>0</v>
      </c>
      <c r="D90" s="33">
        <v>0.6</v>
      </c>
      <c r="E90" s="20">
        <f t="shared" si="27"/>
        <v>0</v>
      </c>
      <c r="F90" s="20">
        <f t="shared" si="19"/>
        <v>0</v>
      </c>
      <c r="G90" s="20"/>
      <c r="H90" s="20">
        <f t="shared" si="20"/>
        <v>0</v>
      </c>
      <c r="I90" s="56">
        <f t="shared" si="28"/>
        <v>0</v>
      </c>
      <c r="J90" s="54"/>
    </row>
    <row r="91" s="1" customFormat="1" spans="1:10">
      <c r="A91" s="23" t="s">
        <v>91</v>
      </c>
      <c r="B91" s="20"/>
      <c r="C91" s="13">
        <f t="shared" si="21"/>
        <v>0</v>
      </c>
      <c r="D91" s="33">
        <v>0.8</v>
      </c>
      <c r="E91" s="20">
        <f t="shared" si="27"/>
        <v>0</v>
      </c>
      <c r="F91" s="20">
        <f t="shared" si="19"/>
        <v>0</v>
      </c>
      <c r="G91" s="20"/>
      <c r="H91" s="20">
        <f t="shared" si="20"/>
        <v>0</v>
      </c>
      <c r="I91" s="56">
        <f t="shared" si="28"/>
        <v>0</v>
      </c>
      <c r="J91" s="54"/>
    </row>
    <row r="92" s="1" customFormat="1" spans="1:10">
      <c r="A92" s="23" t="s">
        <v>90</v>
      </c>
      <c r="B92" s="20"/>
      <c r="C92" s="13">
        <f t="shared" si="21"/>
        <v>0</v>
      </c>
      <c r="D92" s="33">
        <v>0.9</v>
      </c>
      <c r="E92" s="20">
        <f t="shared" si="27"/>
        <v>0</v>
      </c>
      <c r="F92" s="20">
        <f t="shared" si="19"/>
        <v>0</v>
      </c>
      <c r="G92" s="20"/>
      <c r="H92" s="20">
        <f t="shared" si="20"/>
        <v>0</v>
      </c>
      <c r="I92" s="56">
        <f t="shared" si="28"/>
        <v>0</v>
      </c>
      <c r="J92" s="54"/>
    </row>
    <row r="93" s="1" customFormat="1" spans="1:10">
      <c r="A93" s="19" t="s">
        <v>92</v>
      </c>
      <c r="B93" s="20"/>
      <c r="C93" s="13">
        <f t="shared" si="21"/>
        <v>0</v>
      </c>
      <c r="D93" s="33">
        <v>0.8</v>
      </c>
      <c r="E93" s="20">
        <f t="shared" si="27"/>
        <v>0</v>
      </c>
      <c r="F93" s="20">
        <f t="shared" si="19"/>
        <v>0</v>
      </c>
      <c r="G93" s="20"/>
      <c r="H93" s="20">
        <f t="shared" si="20"/>
        <v>0</v>
      </c>
      <c r="I93" s="56">
        <f t="shared" si="28"/>
        <v>0</v>
      </c>
      <c r="J93" s="54"/>
    </row>
    <row r="94" s="1" customFormat="1" spans="1:10">
      <c r="A94" s="19" t="s">
        <v>93</v>
      </c>
      <c r="B94" s="20"/>
      <c r="C94" s="13">
        <f t="shared" si="21"/>
        <v>0</v>
      </c>
      <c r="D94" s="33">
        <v>0.9</v>
      </c>
      <c r="E94" s="20">
        <f t="shared" si="27"/>
        <v>0</v>
      </c>
      <c r="F94" s="20">
        <f t="shared" si="19"/>
        <v>0</v>
      </c>
      <c r="G94" s="20"/>
      <c r="H94" s="20">
        <f t="shared" si="20"/>
        <v>0</v>
      </c>
      <c r="I94" s="56">
        <f t="shared" si="28"/>
        <v>0</v>
      </c>
      <c r="J94" s="54"/>
    </row>
    <row r="95" s="1" customFormat="1" spans="1:10">
      <c r="A95" s="19" t="s">
        <v>94</v>
      </c>
      <c r="B95" s="20"/>
      <c r="C95" s="13">
        <f t="shared" si="21"/>
        <v>0</v>
      </c>
      <c r="D95" s="33">
        <v>0.85</v>
      </c>
      <c r="E95" s="20">
        <f t="shared" si="27"/>
        <v>0</v>
      </c>
      <c r="F95" s="20">
        <f t="shared" si="19"/>
        <v>0</v>
      </c>
      <c r="G95" s="20"/>
      <c r="H95" s="20">
        <f t="shared" si="20"/>
        <v>0</v>
      </c>
      <c r="I95" s="56">
        <f t="shared" si="28"/>
        <v>0</v>
      </c>
      <c r="J95" s="54"/>
    </row>
    <row r="96" s="1" customFormat="1" spans="1:10">
      <c r="A96" s="19" t="s">
        <v>95</v>
      </c>
      <c r="B96" s="20"/>
      <c r="C96" s="13">
        <f t="shared" si="21"/>
        <v>0</v>
      </c>
      <c r="D96" s="33">
        <v>0.85</v>
      </c>
      <c r="E96" s="20">
        <f t="shared" si="27"/>
        <v>0</v>
      </c>
      <c r="F96" s="20">
        <f t="shared" si="19"/>
        <v>0</v>
      </c>
      <c r="G96" s="20"/>
      <c r="H96" s="20">
        <f t="shared" si="20"/>
        <v>0</v>
      </c>
      <c r="I96" s="56">
        <f t="shared" si="28"/>
        <v>0</v>
      </c>
      <c r="J96" s="54"/>
    </row>
    <row r="97" s="1" customFormat="1" spans="1:10">
      <c r="A97" s="15" t="s">
        <v>96</v>
      </c>
      <c r="B97" s="16">
        <f t="shared" ref="B97:G97" si="29">SUM(B98:B108)</f>
        <v>4542</v>
      </c>
      <c r="C97" s="17">
        <f t="shared" si="21"/>
        <v>104.466</v>
      </c>
      <c r="D97" s="58"/>
      <c r="E97" s="24">
        <f t="shared" si="29"/>
        <v>54.76875</v>
      </c>
      <c r="F97" s="24">
        <f t="shared" si="19"/>
        <v>49.69725</v>
      </c>
      <c r="G97" s="24">
        <f t="shared" si="29"/>
        <v>12.47375</v>
      </c>
      <c r="H97" s="24">
        <f t="shared" si="20"/>
        <v>42.295</v>
      </c>
      <c r="I97" s="57">
        <f>SUM(I98:I108)</f>
        <v>42.295</v>
      </c>
      <c r="J97" s="54"/>
    </row>
    <row r="98" s="1" customFormat="1" spans="1:10">
      <c r="A98" s="19" t="s">
        <v>97</v>
      </c>
      <c r="B98" s="20">
        <f>4002+225</f>
        <v>4227</v>
      </c>
      <c r="C98" s="13">
        <f t="shared" si="21"/>
        <v>97.221</v>
      </c>
      <c r="D98" s="33">
        <v>0.5</v>
      </c>
      <c r="E98" s="20">
        <f t="shared" ref="E98:E109" si="30">C98*D98</f>
        <v>48.6105</v>
      </c>
      <c r="F98" s="20">
        <f t="shared" si="19"/>
        <v>48.6105</v>
      </c>
      <c r="G98" s="20">
        <f>0+9.527</f>
        <v>9.527</v>
      </c>
      <c r="H98" s="20">
        <f t="shared" si="20"/>
        <v>39.0835</v>
      </c>
      <c r="I98" s="56">
        <f t="shared" ref="I98:I109" si="31">H98</f>
        <v>39.0835</v>
      </c>
      <c r="J98" s="54"/>
    </row>
    <row r="99" s="1" customFormat="1" spans="1:10">
      <c r="A99" s="19" t="s">
        <v>98</v>
      </c>
      <c r="B99" s="20"/>
      <c r="C99" s="13">
        <f t="shared" si="21"/>
        <v>0</v>
      </c>
      <c r="D99" s="33">
        <v>0.5</v>
      </c>
      <c r="E99" s="20">
        <f t="shared" si="30"/>
        <v>0</v>
      </c>
      <c r="F99" s="20">
        <f t="shared" si="19"/>
        <v>0</v>
      </c>
      <c r="G99" s="20"/>
      <c r="H99" s="20">
        <f t="shared" si="20"/>
        <v>0</v>
      </c>
      <c r="I99" s="56">
        <f t="shared" si="31"/>
        <v>0</v>
      </c>
      <c r="J99" s="54"/>
    </row>
    <row r="100" s="1" customFormat="1" spans="1:10">
      <c r="A100" s="19" t="s">
        <v>149</v>
      </c>
      <c r="B100" s="20"/>
      <c r="C100" s="13">
        <f t="shared" si="21"/>
        <v>0</v>
      </c>
      <c r="D100" s="33">
        <v>0.5</v>
      </c>
      <c r="E100" s="20">
        <f t="shared" si="30"/>
        <v>0</v>
      </c>
      <c r="F100" s="20">
        <f t="shared" si="19"/>
        <v>0</v>
      </c>
      <c r="G100" s="20"/>
      <c r="H100" s="20">
        <f t="shared" si="20"/>
        <v>0</v>
      </c>
      <c r="I100" s="56">
        <f t="shared" si="31"/>
        <v>0</v>
      </c>
      <c r="J100" s="54"/>
    </row>
    <row r="101" s="1" customFormat="1" spans="1:10">
      <c r="A101" s="23" t="s">
        <v>105</v>
      </c>
      <c r="B101" s="20"/>
      <c r="C101" s="13">
        <f t="shared" si="21"/>
        <v>0</v>
      </c>
      <c r="D101" s="33">
        <v>0.8</v>
      </c>
      <c r="E101" s="20">
        <f t="shared" si="30"/>
        <v>0</v>
      </c>
      <c r="F101" s="20">
        <f t="shared" si="19"/>
        <v>0</v>
      </c>
      <c r="G101" s="20"/>
      <c r="H101" s="20">
        <f t="shared" si="20"/>
        <v>0</v>
      </c>
      <c r="I101" s="56">
        <f t="shared" si="31"/>
        <v>0</v>
      </c>
      <c r="J101" s="54"/>
    </row>
    <row r="102" s="1" customFormat="1" spans="1:10">
      <c r="A102" s="23" t="s">
        <v>106</v>
      </c>
      <c r="B102" s="20"/>
      <c r="C102" s="13">
        <f t="shared" si="21"/>
        <v>0</v>
      </c>
      <c r="D102" s="33">
        <v>0.8</v>
      </c>
      <c r="E102" s="20">
        <f t="shared" si="30"/>
        <v>0</v>
      </c>
      <c r="F102" s="20">
        <f t="shared" si="19"/>
        <v>0</v>
      </c>
      <c r="G102" s="20"/>
      <c r="H102" s="20">
        <f t="shared" si="20"/>
        <v>0</v>
      </c>
      <c r="I102" s="56">
        <f t="shared" si="31"/>
        <v>0</v>
      </c>
      <c r="J102" s="54"/>
    </row>
    <row r="103" s="1" customFormat="1" spans="1:10">
      <c r="A103" s="19" t="s">
        <v>99</v>
      </c>
      <c r="B103" s="20"/>
      <c r="C103" s="13">
        <f t="shared" si="21"/>
        <v>0</v>
      </c>
      <c r="D103" s="33">
        <v>0.8</v>
      </c>
      <c r="E103" s="20">
        <f t="shared" si="30"/>
        <v>0</v>
      </c>
      <c r="F103" s="20">
        <f t="shared" si="19"/>
        <v>0</v>
      </c>
      <c r="G103" s="20"/>
      <c r="H103" s="20">
        <f t="shared" si="20"/>
        <v>0</v>
      </c>
      <c r="I103" s="56">
        <f t="shared" si="31"/>
        <v>0</v>
      </c>
      <c r="J103" s="54"/>
    </row>
    <row r="104" s="1" customFormat="1" spans="1:10">
      <c r="A104" s="19" t="s">
        <v>100</v>
      </c>
      <c r="B104" s="20">
        <v>315</v>
      </c>
      <c r="C104" s="13">
        <f t="shared" si="21"/>
        <v>7.245</v>
      </c>
      <c r="D104" s="33">
        <v>0.85</v>
      </c>
      <c r="E104" s="20">
        <f t="shared" si="30"/>
        <v>6.15825</v>
      </c>
      <c r="F104" s="20">
        <f t="shared" si="19"/>
        <v>1.08675</v>
      </c>
      <c r="G104" s="20">
        <f>2.94675</f>
        <v>2.94675</v>
      </c>
      <c r="H104" s="20">
        <f t="shared" si="20"/>
        <v>3.2115</v>
      </c>
      <c r="I104" s="56">
        <f t="shared" si="31"/>
        <v>3.2115</v>
      </c>
      <c r="J104" s="54"/>
    </row>
    <row r="105" s="1" customFormat="1" spans="1:10">
      <c r="A105" s="19" t="s">
        <v>101</v>
      </c>
      <c r="B105" s="20"/>
      <c r="C105" s="13">
        <f t="shared" si="21"/>
        <v>0</v>
      </c>
      <c r="D105" s="33">
        <v>0.9</v>
      </c>
      <c r="E105" s="20">
        <f t="shared" si="30"/>
        <v>0</v>
      </c>
      <c r="F105" s="20">
        <f t="shared" si="19"/>
        <v>0</v>
      </c>
      <c r="G105" s="20"/>
      <c r="H105" s="20">
        <f t="shared" si="20"/>
        <v>0</v>
      </c>
      <c r="I105" s="56">
        <f t="shared" si="31"/>
        <v>0</v>
      </c>
      <c r="J105" s="54"/>
    </row>
    <row r="106" s="1" customFormat="1" spans="1:10">
      <c r="A106" s="19" t="s">
        <v>102</v>
      </c>
      <c r="B106" s="20"/>
      <c r="C106" s="13">
        <f t="shared" si="21"/>
        <v>0</v>
      </c>
      <c r="D106" s="33">
        <v>0.9</v>
      </c>
      <c r="E106" s="20">
        <f t="shared" si="30"/>
        <v>0</v>
      </c>
      <c r="F106" s="20">
        <f t="shared" si="19"/>
        <v>0</v>
      </c>
      <c r="G106" s="20"/>
      <c r="H106" s="20">
        <f t="shared" si="20"/>
        <v>0</v>
      </c>
      <c r="I106" s="56">
        <f t="shared" si="31"/>
        <v>0</v>
      </c>
      <c r="J106" s="54"/>
    </row>
    <row r="107" s="1" customFormat="1" spans="1:10">
      <c r="A107" s="19" t="s">
        <v>103</v>
      </c>
      <c r="B107" s="20"/>
      <c r="C107" s="13">
        <f t="shared" si="21"/>
        <v>0</v>
      </c>
      <c r="D107" s="33">
        <v>0.9</v>
      </c>
      <c r="E107" s="20">
        <f t="shared" si="30"/>
        <v>0</v>
      </c>
      <c r="F107" s="20">
        <f t="shared" si="19"/>
        <v>0</v>
      </c>
      <c r="G107" s="20"/>
      <c r="H107" s="20">
        <f t="shared" si="20"/>
        <v>0</v>
      </c>
      <c r="I107" s="56">
        <f t="shared" si="31"/>
        <v>0</v>
      </c>
      <c r="J107" s="54"/>
    </row>
    <row r="108" s="1" customFormat="1" spans="1:10">
      <c r="A108" s="19" t="s">
        <v>104</v>
      </c>
      <c r="B108" s="20"/>
      <c r="C108" s="13">
        <f t="shared" si="21"/>
        <v>0</v>
      </c>
      <c r="D108" s="33">
        <v>0.9</v>
      </c>
      <c r="E108" s="20">
        <f t="shared" si="30"/>
        <v>0</v>
      </c>
      <c r="F108" s="20">
        <f t="shared" si="19"/>
        <v>0</v>
      </c>
      <c r="G108" s="20"/>
      <c r="H108" s="20">
        <f t="shared" si="20"/>
        <v>0</v>
      </c>
      <c r="I108" s="56">
        <f t="shared" si="31"/>
        <v>0</v>
      </c>
      <c r="J108" s="54"/>
    </row>
    <row r="109" s="1" customFormat="1" spans="1:10">
      <c r="A109" s="15" t="s">
        <v>107</v>
      </c>
      <c r="B109" s="59">
        <v>0</v>
      </c>
      <c r="C109" s="17">
        <f t="shared" si="21"/>
        <v>0</v>
      </c>
      <c r="D109" s="58">
        <v>0.8</v>
      </c>
      <c r="E109" s="24">
        <f t="shared" si="30"/>
        <v>0</v>
      </c>
      <c r="F109" s="24">
        <f t="shared" si="19"/>
        <v>0</v>
      </c>
      <c r="G109" s="61"/>
      <c r="H109" s="24">
        <f t="shared" si="20"/>
        <v>0</v>
      </c>
      <c r="I109" s="57">
        <f t="shared" si="31"/>
        <v>0</v>
      </c>
      <c r="J109" s="64"/>
    </row>
  </sheetData>
  <mergeCells count="11">
    <mergeCell ref="A1:J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 附件</vt:lpstr>
      <vt:lpstr>教育免学费</vt:lpstr>
      <vt:lpstr>教育助学金</vt:lpstr>
      <vt:lpstr>人社</vt:lpstr>
      <vt:lpstr>人社免学费</vt:lpstr>
      <vt:lpstr>人社助学金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陈锋</cp:lastModifiedBy>
  <dcterms:created xsi:type="dcterms:W3CDTF">2020-12-06T16:30:00Z</dcterms:created>
  <dcterms:modified xsi:type="dcterms:W3CDTF">2025-12-01T10:37:15Z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0933D54F3F89465296A20259AAB74510</vt:lpwstr>
  </property>
</Properties>
</file>