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760" firstSheet="3" activeTab="3"/>
  </bookViews>
  <sheets>
    <sheet name="汇总简表" sheetId="4" state="hidden" r:id="rId1"/>
    <sheet name="资金测算表" sheetId="1" state="hidden" r:id="rId2"/>
    <sheet name="增幅" sheetId="3" state="hidden" r:id="rId3"/>
    <sheet name="附件2-设区市绩效" sheetId="6" r:id="rId4"/>
  </sheets>
  <externalReferences>
    <externalReference r:id="rId5"/>
    <externalReference r:id="rId6"/>
  </externalReferences>
  <definedNames>
    <definedName name="_xlnm._FilterDatabase" localSheetId="1" hidden="1">资金测算表!$A$5:$AE$286</definedName>
    <definedName name="_xlnm.Print_Area" localSheetId="1">资金测算表!$A$1:$AC$286</definedName>
    <definedName name="_xlnm.Print_Titles" localSheetId="1">资金测算表!$4:$5</definedName>
    <definedName name="_xlnm.Print_Area" localSheetId="2">增幅!$A$1:$K$14</definedName>
  </definedNames>
  <calcPr calcId="144525"/>
</workbook>
</file>

<file path=xl/sharedStrings.xml><?xml version="1.0" encoding="utf-8"?>
<sst xmlns="http://schemas.openxmlformats.org/spreadsheetml/2006/main" count="1191" uniqueCount="814">
  <si>
    <t>附件1</t>
  </si>
  <si>
    <t>2022年福建省公办幼儿园建设项目分地市资金安排汇总表</t>
  </si>
  <si>
    <t>设区市</t>
  </si>
  <si>
    <t>项目数（个）</t>
  </si>
  <si>
    <t>项目建设面积（平方米）</t>
  </si>
  <si>
    <t>项目总投资（万元）</t>
  </si>
  <si>
    <t>申请补助资金（万元）</t>
  </si>
  <si>
    <t>拟补助资金（万元）</t>
  </si>
  <si>
    <t>预计可新增学位（个）</t>
  </si>
  <si>
    <t>合计</t>
  </si>
  <si>
    <t>项目法</t>
  </si>
  <si>
    <t>以奖代补</t>
  </si>
  <si>
    <t>福建省合计</t>
  </si>
  <si>
    <t>省属</t>
  </si>
  <si>
    <t>福州市</t>
  </si>
  <si>
    <t>莆田市</t>
  </si>
  <si>
    <t>三明市</t>
  </si>
  <si>
    <t>泉州市</t>
  </si>
  <si>
    <t>漳州市</t>
  </si>
  <si>
    <t>南平市</t>
  </si>
  <si>
    <t>龙岩市</t>
  </si>
  <si>
    <t>宁德市</t>
  </si>
  <si>
    <t>平潭综合实验区</t>
  </si>
  <si>
    <t>厦门市</t>
  </si>
  <si>
    <t>注：1.项目总投资不包含征地拆迁等用地费用；2.预计新增学位不包含改扩建项目原有学位数。</t>
  </si>
  <si>
    <t xml:space="preserve">附件1 </t>
  </si>
  <si>
    <t>2022年福建省公办幼儿园建设分项目补助资金测算表</t>
  </si>
  <si>
    <t>重要性序号</t>
  </si>
  <si>
    <t>项目所在地</t>
  </si>
  <si>
    <t>拟建设幼儿园名称</t>
  </si>
  <si>
    <t>建设性质</t>
  </si>
  <si>
    <t>立项批复文号</t>
  </si>
  <si>
    <t>建设内容</t>
  </si>
  <si>
    <t>项目建设与投资规模</t>
  </si>
  <si>
    <t>项目建成后幼儿园基本情况</t>
  </si>
  <si>
    <t>申请补助及建设资金筹措计划（万元）</t>
  </si>
  <si>
    <t>补助标准</t>
  </si>
  <si>
    <t>补助系数</t>
  </si>
  <si>
    <t>按计划班数补助面积</t>
  </si>
  <si>
    <t>确认补助面积</t>
  </si>
  <si>
    <t>计划补助金额</t>
  </si>
  <si>
    <t>实际补助金额</t>
  </si>
  <si>
    <t>奖补资金</t>
  </si>
  <si>
    <t>共计补助金额</t>
  </si>
  <si>
    <t>预计开工时间</t>
  </si>
  <si>
    <t>预计竣工时间</t>
  </si>
  <si>
    <t>备注</t>
  </si>
  <si>
    <t>项目建筑面积（㎡）</t>
  </si>
  <si>
    <t>总投资（万元）</t>
  </si>
  <si>
    <t>设备购置投入（万元）</t>
  </si>
  <si>
    <t>园舍建筑面积（平方米）</t>
  </si>
  <si>
    <t>计划设立幼儿园班数（个）</t>
  </si>
  <si>
    <t>新增班级数</t>
  </si>
  <si>
    <t>新增学位数（个）</t>
  </si>
  <si>
    <t>小计</t>
  </si>
  <si>
    <t>省级及以上安排</t>
  </si>
  <si>
    <t>市级安排</t>
  </si>
  <si>
    <t>县级安排</t>
  </si>
  <si>
    <t>其他</t>
  </si>
  <si>
    <t>全省合计</t>
  </si>
  <si>
    <t xml:space="preserve">福建农林大学附属幼儿园  </t>
  </si>
  <si>
    <t>扩建</t>
  </si>
  <si>
    <t>无</t>
  </si>
  <si>
    <t>增加映辉楼园区</t>
  </si>
  <si>
    <t>福建幼儿师范高等专科学校附属第二幼儿园</t>
  </si>
  <si>
    <t>改建</t>
  </si>
  <si>
    <t>教学楼、户外场地、附属设施</t>
  </si>
  <si>
    <t>省直属机关幼儿园小班部</t>
  </si>
  <si>
    <t>教学楼、附属设施、户外场地</t>
  </si>
  <si>
    <t>仓山区</t>
  </si>
  <si>
    <t>盖山镇</t>
  </si>
  <si>
    <t>花海幼儿园</t>
  </si>
  <si>
    <t>新建</t>
  </si>
  <si>
    <t>榕发改审批〔2021〕110号</t>
  </si>
  <si>
    <t>长乐区</t>
  </si>
  <si>
    <t>航城街道</t>
  </si>
  <si>
    <t>航城中心幼儿园龙门校区</t>
  </si>
  <si>
    <t>长发改基〔2020〕230号</t>
  </si>
  <si>
    <t>在原龙门小学旧址上建设幼儿园校舍6994平方米及附属设施</t>
  </si>
  <si>
    <t>吴航街道</t>
  </si>
  <si>
    <t>吴航中心幼儿园新园</t>
  </si>
  <si>
    <t>配建</t>
  </si>
  <si>
    <t>东方嘉苑小区配套幼儿园教学楼改造及附属设施建设</t>
  </si>
  <si>
    <t>珑璟台小区配建幼儿园</t>
  </si>
  <si>
    <t>珑璟台小区配建幼儿园教学楼改造及附属设施建设</t>
  </si>
  <si>
    <t>首占镇</t>
  </si>
  <si>
    <t>首占中心幼儿园新园</t>
  </si>
  <si>
    <t>首占璟月小区配套幼儿园教学楼改造及附属设施建设</t>
  </si>
  <si>
    <t>文武砂街道</t>
  </si>
  <si>
    <t>滨海安置房四期（碧海银滩花园）小区配建幼儿园</t>
  </si>
  <si>
    <t>碧海银滩花园（滨海安置房四期）小区配建幼儿园教学楼改造及附属设施建设</t>
  </si>
  <si>
    <t>湖南镇</t>
  </si>
  <si>
    <t>临空安置房一期（棋山花园）小区配建幼儿园</t>
  </si>
  <si>
    <t>临空安置房一期（棋山花园）小区配建幼儿园教学楼改造及附属设施建设</t>
  </si>
  <si>
    <t>罗源县</t>
  </si>
  <si>
    <t>松山镇</t>
  </si>
  <si>
    <t>松山幼儿园</t>
  </si>
  <si>
    <t>罗发改投资〔2021〕46号</t>
  </si>
  <si>
    <t>项目选址开发区南片地块三南侧（靠近现有永亨市场北侧）。占地13亩，新建教学综合楼、门卫建筑面积约为6794平方米，以及围墙绿化等附属工程，购置教学设备等。拟设置18班，容纳幼儿生数540人。</t>
  </si>
  <si>
    <t>罗源县滨海新城罗盛苑（三区）幼儿园</t>
  </si>
  <si>
    <t>罗发改投资〔2020〕95号</t>
  </si>
  <si>
    <t>对回收的小区配套幼儿园进行改造及设施设备购置</t>
  </si>
  <si>
    <t>连江县</t>
  </si>
  <si>
    <t>凤城镇</t>
  </si>
  <si>
    <t>第二实验幼儿园</t>
  </si>
  <si>
    <t>教学楼室内外装修及户外场地改造</t>
  </si>
  <si>
    <t>温泉幼儿园</t>
  </si>
  <si>
    <t>教学楼室内外装修、户外场地改造及设备购置</t>
  </si>
  <si>
    <t>鼓楼区</t>
  </si>
  <si>
    <t>华大街道</t>
  </si>
  <si>
    <t>旗汛口幼儿教育集团崎上园</t>
  </si>
  <si>
    <t>教学楼改造、附属设施建设及设施设备购置</t>
  </si>
  <si>
    <t>五凤街道</t>
  </si>
  <si>
    <t>福州市旗汛口幼儿教育集团软件园教学点</t>
  </si>
  <si>
    <t>扶持</t>
  </si>
  <si>
    <t>福州市鼓楼区人民政府常务会议纪要〔2021〕6号</t>
  </si>
  <si>
    <t>2023年12月</t>
  </si>
  <si>
    <t>洪山镇</t>
  </si>
  <si>
    <t>鼓楼国投茉莉幼儿园</t>
  </si>
  <si>
    <t>福州市鼓楼区人民政府专题会议纪要〔2020〕87号</t>
  </si>
  <si>
    <t>鼓楼国投太阳花幼儿园</t>
  </si>
  <si>
    <t>马尾区</t>
  </si>
  <si>
    <t>马尾区罗星街道</t>
  </si>
  <si>
    <t>福州市马尾区青洲幼儿园</t>
  </si>
  <si>
    <t>闽发改备
〔2017〕A05046号</t>
  </si>
  <si>
    <t>教学楼改造、附属设施建设及设备购置</t>
  </si>
  <si>
    <t>闽侯县</t>
  </si>
  <si>
    <t>青口镇</t>
  </si>
  <si>
    <t>青口青城壹品配套幼儿园</t>
  </si>
  <si>
    <t>侯政办项〔2021〕122号</t>
  </si>
  <si>
    <t>教学楼改造及附属设施建设</t>
  </si>
  <si>
    <t>2022.10</t>
  </si>
  <si>
    <t>南通镇</t>
  </si>
  <si>
    <t>南通中海凤凰熙案配套幼儿园</t>
  </si>
  <si>
    <t>侯政办项〔2021〕131号</t>
  </si>
  <si>
    <t>2022.9</t>
  </si>
  <si>
    <t>闽清县</t>
  </si>
  <si>
    <t>梅溪镇</t>
  </si>
  <si>
    <t>弘晟法郡小区配建幼儿园</t>
  </si>
  <si>
    <t>闽发改备〔2020〕A110228号</t>
  </si>
  <si>
    <t>梅城镇</t>
  </si>
  <si>
    <t>南山小区（南山壹号）配建幼儿园</t>
  </si>
  <si>
    <t>闽发改备〔2020〕A110064号</t>
  </si>
  <si>
    <t>2022.8</t>
  </si>
  <si>
    <t>永泰县</t>
  </si>
  <si>
    <t>樟城镇</t>
  </si>
  <si>
    <t>香樟花园幼儿园</t>
  </si>
  <si>
    <t>闽发改备〔2017〕A10154号</t>
  </si>
  <si>
    <t>香樟俪园幼儿园</t>
  </si>
  <si>
    <t>闽发改备〔2019〕A100106号</t>
  </si>
  <si>
    <t>城峰镇</t>
  </si>
  <si>
    <t>外滩一号幼儿园</t>
  </si>
  <si>
    <t>闽发改备〔2018〕A100063号</t>
  </si>
  <si>
    <t>福清市</t>
  </si>
  <si>
    <t>宏路街道</t>
  </si>
  <si>
    <t>宏路御珑湾小区配建幼儿园</t>
  </si>
  <si>
    <t>融发改审批〔2021〕280号</t>
  </si>
  <si>
    <t>教学楼改造及设施设备购置</t>
  </si>
  <si>
    <t>中联名城三区配建幼儿园</t>
  </si>
  <si>
    <t>配建幼儿园教学楼改造及设备购置</t>
  </si>
  <si>
    <t>石竹街道</t>
  </si>
  <si>
    <t>石竹御园小区配建幼儿园</t>
  </si>
  <si>
    <t>融发改审批〔2021〕615号</t>
  </si>
  <si>
    <t>碧桂园小区配建幼儿园</t>
  </si>
  <si>
    <t>玉屏街道</t>
  </si>
  <si>
    <t>融润书香苑配建幼儿园</t>
  </si>
  <si>
    <t>音西街道</t>
  </si>
  <si>
    <t>世茂璀璨美景配建幼儿园</t>
  </si>
  <si>
    <t>福州高新区</t>
  </si>
  <si>
    <t>上街镇</t>
  </si>
  <si>
    <t>融侨誉江配建幼儿园</t>
  </si>
  <si>
    <t>闽发改备〔2019〕A140159号</t>
  </si>
  <si>
    <t>南屿镇</t>
  </si>
  <si>
    <t>中梁百悦城配建幼儿园</t>
  </si>
  <si>
    <t>闽发改备〔2019〕A140181号</t>
  </si>
  <si>
    <t>两园安置房二期配建幼儿园</t>
  </si>
  <si>
    <t>榕高新区经发〔2020〕7号</t>
  </si>
  <si>
    <t>碧桂园铂玥公馆配建幼儿园</t>
  </si>
  <si>
    <t>闽发改备〔2018〕015号</t>
  </si>
  <si>
    <t>晋安区</t>
  </si>
  <si>
    <t>新店镇</t>
  </si>
  <si>
    <t>龙湖天璟配套园</t>
  </si>
  <si>
    <t>未立项</t>
  </si>
  <si>
    <t>2023年9</t>
  </si>
  <si>
    <t>天空之城配套园</t>
  </si>
  <si>
    <t>岳峰镇</t>
  </si>
  <si>
    <t>公园左岸配套园</t>
  </si>
  <si>
    <t>茶园街道</t>
  </si>
  <si>
    <t>茶园新苑配套园</t>
  </si>
  <si>
    <t>寿山乡岭头村</t>
  </si>
  <si>
    <t>融信有墅配套园</t>
  </si>
  <si>
    <t>莆田市本级</t>
  </si>
  <si>
    <t>莆田第二实验幼儿园</t>
  </si>
  <si>
    <t>教学楼、综合楼、配套设施建设：校门、围墙、室外活动场地、景观绿化等</t>
  </si>
  <si>
    <t>秀屿区</t>
  </si>
  <si>
    <t>笏石镇</t>
  </si>
  <si>
    <t>秀屿区第二实验幼儿园</t>
  </si>
  <si>
    <t>莆秀发改审〔2020〕27号</t>
  </si>
  <si>
    <t>教学楼、配套建设校门、围墙、室外活动场地、道路、景观绿化等</t>
  </si>
  <si>
    <t>仙游县</t>
  </si>
  <si>
    <t>榜头镇</t>
  </si>
  <si>
    <t>榜头第三中心幼儿园</t>
  </si>
  <si>
    <t>仙发改网审〔2022〕6号</t>
  </si>
  <si>
    <t>教学综合楼</t>
  </si>
  <si>
    <t>菜溪乡</t>
  </si>
  <si>
    <t>承璜第二学校幼儿园</t>
  </si>
  <si>
    <t>仙发改网审〔2022〕7号</t>
  </si>
  <si>
    <t>园庄镇</t>
  </si>
  <si>
    <t>园庄中心园大埔分园</t>
  </si>
  <si>
    <t>仙发改网审〔2022〕8号</t>
  </si>
  <si>
    <t>湄洲岛</t>
  </si>
  <si>
    <t>湄洲镇</t>
  </si>
  <si>
    <t>湄洲岛妈祖幼儿园第一分园</t>
  </si>
  <si>
    <t>湄管计统〔2021〕15号</t>
  </si>
  <si>
    <t>湄洲岛妈祖幼儿园第一分园幼儿建设工程</t>
  </si>
  <si>
    <t>荔城区</t>
  </si>
  <si>
    <t>黄石镇</t>
  </si>
  <si>
    <t>黄石物流园区幼儿园（保利香盛公馆配套）</t>
  </si>
  <si>
    <t>幼儿园教学楼室内外装修、户外环境创设、设备购置等</t>
  </si>
  <si>
    <t>新度镇蒲坂村</t>
  </si>
  <si>
    <t>荔城区新度中心幼儿园分园（壶公路北侧安置房配套）</t>
  </si>
  <si>
    <t>拱辰街道</t>
  </si>
  <si>
    <t>拱辰中心幼儿园分园（绶溪地块一配套）</t>
  </si>
  <si>
    <t>区一幼保利天汇分园（绶溪地块一配套）</t>
  </si>
  <si>
    <t>区四小幼儿园分园（荔浦安置区配套）</t>
  </si>
  <si>
    <t>新溪幼儿园陡西分园（陡西安置区配套）</t>
  </si>
  <si>
    <t>西天尾镇</t>
  </si>
  <si>
    <t>西天尾中心幼儿园紫霄分园（玖序台项目配套）</t>
  </si>
  <si>
    <t>闽发改备〔2020〕B020053号</t>
  </si>
  <si>
    <t>镇海街道</t>
  </si>
  <si>
    <t>古山幼儿园（古山安置区配套）</t>
  </si>
  <si>
    <t>闽发改备〔2020〕B02003号</t>
  </si>
  <si>
    <t xml:space="preserve"> 笏石镇</t>
  </si>
  <si>
    <t>秀屿区实验小学城东校区（附属幼儿园）</t>
  </si>
  <si>
    <t>闽发改备〔2019〕B050234号</t>
  </si>
  <si>
    <t>教学楼及公共配套设施</t>
  </si>
  <si>
    <t>云悦壹号小区配套幼儿园</t>
  </si>
  <si>
    <t>闽发改备〔2019〕B050048号</t>
  </si>
  <si>
    <t>湄洲湾北岸管委会</t>
  </si>
  <si>
    <t>北岸经开区忠门镇乐屿新城</t>
  </si>
  <si>
    <t>北江新城幼儿园</t>
  </si>
  <si>
    <t>校园内公共配套设施建设、设备采购等</t>
  </si>
  <si>
    <t>涵江区</t>
  </si>
  <si>
    <t xml:space="preserve">涵西街道 </t>
  </si>
  <si>
    <t>涵江区保利堂悦配套幼儿园</t>
  </si>
  <si>
    <t>保教楼室内外装修、户外环境创设、设备购置等</t>
  </si>
  <si>
    <t>白塘镇</t>
  </si>
  <si>
    <t>涵江区保利天宸配套幼儿园</t>
  </si>
  <si>
    <t>梧塘镇</t>
  </si>
  <si>
    <t>涵江区美好花庭配套幼儿</t>
  </si>
  <si>
    <t>三元区</t>
  </si>
  <si>
    <t>小蕉开发区</t>
  </si>
  <si>
    <t>三元区小蕉幼儿园</t>
  </si>
  <si>
    <t>梅发审〔2021〕14号</t>
  </si>
  <si>
    <t>教学综合楼及相关配套工程</t>
  </si>
  <si>
    <t>城关街道</t>
  </si>
  <si>
    <t>三元区实验幼儿园崇宁分园</t>
  </si>
  <si>
    <t>无需立项</t>
  </si>
  <si>
    <t>消防系统改造、教学楼改造、户外悬浮地板、操场排水系统改造、设备采购等。</t>
  </si>
  <si>
    <t>富兴堡街道</t>
  </si>
  <si>
    <t>三元区东霞幼儿园</t>
  </si>
  <si>
    <t>教学楼改造、室外场地改造、高空抛物防护设施、设备采购等。</t>
  </si>
  <si>
    <t>白沙街道</t>
  </si>
  <si>
    <t>三元区第二实验幼儿园桃源分园</t>
  </si>
  <si>
    <t>闽发改备〔2021〕G010077</t>
  </si>
  <si>
    <t>徐碧街道</t>
  </si>
  <si>
    <t>三元区徐碧村甲头幼儿园</t>
  </si>
  <si>
    <t>闽发改备〔2020〕G020024</t>
  </si>
  <si>
    <t>列东街道</t>
  </si>
  <si>
    <t>三明市实验幼儿园牡丹校区</t>
  </si>
  <si>
    <t>正在办理中</t>
  </si>
  <si>
    <t>用地面积8979平方米，办学规模为15个班，总建筑面积8450平方米，其中计容面积6950平方米，新增学位450个。</t>
  </si>
  <si>
    <t>三明市妇联幼儿园蓓蕾分园</t>
  </si>
  <si>
    <t>闽发备（2021）G010151号</t>
  </si>
  <si>
    <t>用地面积2700平方米，建设面积2500平方米，拟设置9个班，学位270个。</t>
  </si>
  <si>
    <t>永安市</t>
  </si>
  <si>
    <t>燕东街道</t>
  </si>
  <si>
    <t>永安市燕城里幼儿园</t>
  </si>
  <si>
    <t>闽发改备〔2019〕G030196号</t>
  </si>
  <si>
    <t xml:space="preserve">教学综合楼及相关配套工程          </t>
  </si>
  <si>
    <t>洪田镇</t>
  </si>
  <si>
    <t>永安市洪田幼儿园</t>
  </si>
  <si>
    <t>教学楼改造、室外场地改造、设备采购等。</t>
  </si>
  <si>
    <t>泰宁县</t>
  </si>
  <si>
    <t>杉城镇</t>
  </si>
  <si>
    <t>文昌幼儿园</t>
  </si>
  <si>
    <t>泰发改审批〔2021〕30号</t>
  </si>
  <si>
    <t>尤溪县</t>
  </si>
  <si>
    <t>城关镇三奎新区</t>
  </si>
  <si>
    <t>尤溪县第五实验幼儿园</t>
  </si>
  <si>
    <t>尤发改基〔2021〕41号</t>
  </si>
  <si>
    <t>新阳镇</t>
  </si>
  <si>
    <t>高士幼儿园</t>
  </si>
  <si>
    <t>教学楼、户外场地、附属设施等。</t>
  </si>
  <si>
    <t>2022.07</t>
  </si>
  <si>
    <t>2022.09</t>
  </si>
  <si>
    <t>沙县区</t>
  </si>
  <si>
    <t>凤岗街道</t>
  </si>
  <si>
    <t>实验幼儿园</t>
  </si>
  <si>
    <t>教学综合楼及配套附属设施</t>
  </si>
  <si>
    <t>建宁县</t>
  </si>
  <si>
    <t>溪源乡</t>
  </si>
  <si>
    <t>溪源中心幼儿园</t>
  </si>
  <si>
    <t>客坊乡</t>
  </si>
  <si>
    <t>客坊中心幼儿园</t>
  </si>
  <si>
    <t>原教学楼为4层框架结构进行改造。另校门、围墙、操场、厕所、绿化等附属设施需改造。</t>
  </si>
  <si>
    <t>大田县</t>
  </si>
  <si>
    <t>大田县均溪镇</t>
  </si>
  <si>
    <t>大田县实验幼儿园</t>
  </si>
  <si>
    <t>教学综合楼及附属设施</t>
  </si>
  <si>
    <t>大田县建设镇</t>
  </si>
  <si>
    <t>大田县建设镇第二中心幼儿园</t>
  </si>
  <si>
    <t>大田县吴山镇</t>
  </si>
  <si>
    <t>大田县吴山中心幼儿园阳春分园</t>
  </si>
  <si>
    <t>明溪县</t>
  </si>
  <si>
    <t>雪峰镇</t>
  </si>
  <si>
    <t>明溪县第二幼儿园</t>
  </si>
  <si>
    <t>清流县</t>
  </si>
  <si>
    <t>龙津镇</t>
  </si>
  <si>
    <t>清流县实验幼儿园</t>
  </si>
  <si>
    <t>洛江区</t>
  </si>
  <si>
    <t>万安街道</t>
  </si>
  <si>
    <t>洛江区实验幼儿园</t>
  </si>
  <si>
    <t>泉洛发改审〔2021〕36号</t>
  </si>
  <si>
    <t>规划建设教学综合楼、厨房、人防地下室、围墙大门及附属配套设施等</t>
  </si>
  <si>
    <t>南益清源春晓幼儿园（暂名）</t>
  </si>
  <si>
    <t xml:space="preserve">闽发改备〔2018〕 C030188号 </t>
  </si>
  <si>
    <t>教学楼装修改造及室外配套工程建设、设备设施购置。</t>
  </si>
  <si>
    <t>惠安县</t>
  </si>
  <si>
    <t>螺城镇</t>
  </si>
  <si>
    <t>惠安县第六实验幼儿园</t>
  </si>
  <si>
    <t>惠发改审〔2021〕98号</t>
  </si>
  <si>
    <t>教学综合楼、运动场地及附属设施等</t>
  </si>
  <si>
    <t>螺阳镇</t>
  </si>
  <si>
    <t>螺阳第三中心幼儿园</t>
  </si>
  <si>
    <t>惠发改审〔2021〕8号</t>
  </si>
  <si>
    <t>教学综合楼、户外场地、附属设施等</t>
  </si>
  <si>
    <t>崇武镇</t>
  </si>
  <si>
    <t>崇武中心幼儿园</t>
  </si>
  <si>
    <t>一栋三层教学楼、操场草坪及运动设施、游戏室、围墙公厕翻修等附属建设及加装变压器</t>
  </si>
  <si>
    <t>山霞镇</t>
  </si>
  <si>
    <t>山霞中心幼儿园</t>
  </si>
  <si>
    <t>建设教学楼、改建综合楼及其他配套设施。</t>
  </si>
  <si>
    <t>安溪县</t>
  </si>
  <si>
    <t>参内镇</t>
  </si>
  <si>
    <t>安溪城东第二实验幼儿园</t>
  </si>
  <si>
    <t>安发改审〔2021〕104号</t>
  </si>
  <si>
    <t>教学综合楼及附属配套设施</t>
  </si>
  <si>
    <t>泉州白濑水利枢纽参内安置区美塘幼儿园
（安溪城东第三中心幼儿园）</t>
  </si>
  <si>
    <t>安发改审〔2020〕99号</t>
  </si>
  <si>
    <t>清溪幼儿园</t>
  </si>
  <si>
    <t>闽发改备〔2021〕C090122号</t>
  </si>
  <si>
    <t>永春县</t>
  </si>
  <si>
    <t>蓬壶镇</t>
  </si>
  <si>
    <t>永春县蓬壶第三中心幼儿园</t>
  </si>
  <si>
    <t>永发改审〔2020〕57号</t>
  </si>
  <si>
    <t>教学综合楼及相关配套建筑、设施设备。</t>
  </si>
  <si>
    <t>桃城镇</t>
  </si>
  <si>
    <t>长安幼儿园</t>
  </si>
  <si>
    <t>教学楼、户外场地、附属设施及设备购置。</t>
  </si>
  <si>
    <t>晋江市</t>
  </si>
  <si>
    <t>灵源街道</t>
  </si>
  <si>
    <t>英塘中心幼儿园</t>
  </si>
  <si>
    <t>晋发改审〔2020〕147号</t>
  </si>
  <si>
    <t>教学楼及配套设施设施设备。</t>
  </si>
  <si>
    <t>英林镇</t>
  </si>
  <si>
    <t>龙西幼儿园</t>
  </si>
  <si>
    <t>晋发改审〔2020〕73号</t>
  </si>
  <si>
    <t>教学综合楼、设施设备</t>
  </si>
  <si>
    <t>东埔幼儿园</t>
  </si>
  <si>
    <t>晋发改审〔2019〕303号</t>
  </si>
  <si>
    <t>教学楼及配套设施、设施设备</t>
  </si>
  <si>
    <t>池店镇</t>
  </si>
  <si>
    <t>中梁首府配套幼儿园</t>
  </si>
  <si>
    <t>闽发改备〔2019〕C050372</t>
  </si>
  <si>
    <t>小区配建幼儿园改造及附属设施建设、设备购置等</t>
  </si>
  <si>
    <t>新塘街道</t>
  </si>
  <si>
    <t>龙湖新塘配套幼儿园</t>
  </si>
  <si>
    <t>闽发改备〔2021〕C050206号</t>
  </si>
  <si>
    <t xml:space="preserve"> </t>
  </si>
  <si>
    <t>青阳街道</t>
  </si>
  <si>
    <t>中南天樾配套幼儿园</t>
  </si>
  <si>
    <t>闽发改备〔2020〕C050274号</t>
  </si>
  <si>
    <t>安海镇</t>
  </si>
  <si>
    <t>翰墨学苑配套幼儿园</t>
  </si>
  <si>
    <t>闽发改备〔2019〕C051194号</t>
  </si>
  <si>
    <t>西园街道</t>
  </si>
  <si>
    <t>第四实验幼儿园王厝园区</t>
  </si>
  <si>
    <t>闽发改备〔2018〕C050865号</t>
  </si>
  <si>
    <t>罗山街道</t>
  </si>
  <si>
    <t>书香名邸配套幼儿园</t>
  </si>
  <si>
    <t>闽发改备〔2020〕C050959号</t>
  </si>
  <si>
    <t>永和镇</t>
  </si>
  <si>
    <t>第三中心幼儿园</t>
  </si>
  <si>
    <t>闽发改备〔2020〕C050860号</t>
  </si>
  <si>
    <t>石狮市</t>
  </si>
  <si>
    <t>锦尚镇</t>
  </si>
  <si>
    <t>锦尚第三中心幼儿园</t>
  </si>
  <si>
    <t>狮经计〔2018〕171号</t>
  </si>
  <si>
    <t>教学综合楼及附属配套设施设备。</t>
  </si>
  <si>
    <t>南安市</t>
  </si>
  <si>
    <t>官桥</t>
  </si>
  <si>
    <t>南安市官桥第一中心幼儿园</t>
  </si>
  <si>
    <t>南发改投﹝2020﹞198号</t>
  </si>
  <si>
    <t>1#2#教学综合楼及室外附属设施配套工程</t>
  </si>
  <si>
    <t>金淘</t>
  </si>
  <si>
    <t>南安市金淘第二幼儿园</t>
  </si>
  <si>
    <t>南发改投﹝2021﹞152号</t>
  </si>
  <si>
    <t>1栋教学综合楼及室外附属设施配套工程</t>
  </si>
  <si>
    <t>霞美</t>
  </si>
  <si>
    <t>南安市霞美中心幼儿园</t>
  </si>
  <si>
    <t>南发改投﹝2018﹞119号</t>
  </si>
  <si>
    <t>1栋综合楼、幼儿活动场所及室外附属设施配套工程</t>
  </si>
  <si>
    <t>南安市官桥祥和幼儿园</t>
  </si>
  <si>
    <t>南发改投
﹝2021﹞173号</t>
  </si>
  <si>
    <t>梅山镇</t>
  </si>
  <si>
    <t>南安市国专第二幼儿园芙蓉园区</t>
  </si>
  <si>
    <t>闽发改备﹝2018﹞CO61001号</t>
  </si>
  <si>
    <t>教学综合楼及室外附属配套工程</t>
  </si>
  <si>
    <t>泉州台商投资区</t>
  </si>
  <si>
    <t>台商区</t>
  </si>
  <si>
    <t>泉州幼高专附属第二实验幼儿园</t>
  </si>
  <si>
    <t>泉台管经审
〔2020〕133号</t>
  </si>
  <si>
    <t>一栋幼儿园4层教学楼，含幼儿园活动单元，专用教室、各功能室及生活配套用房、设施设备等</t>
  </si>
  <si>
    <t>美的·公园天下配套幼儿园</t>
  </si>
  <si>
    <t>闽发改备〔2019〕
C130043号</t>
  </si>
  <si>
    <t>教学楼装修改造及配套设施设施设备。</t>
  </si>
  <si>
    <t>檀悦配套幼儿园</t>
  </si>
  <si>
    <t>闽发改备〔2018〕
C130008号</t>
  </si>
  <si>
    <t>白沙一期安置区配套幼儿园</t>
  </si>
  <si>
    <t>泉台管经审〔2017〕99号</t>
  </si>
  <si>
    <t>泉港区</t>
  </si>
  <si>
    <t>峰尾镇</t>
  </si>
  <si>
    <t>峰尾第二中心幼儿园</t>
  </si>
  <si>
    <t>教学楼、户外场地、附属设施等</t>
  </si>
  <si>
    <t>德化县</t>
  </si>
  <si>
    <t>浔中镇</t>
  </si>
  <si>
    <t>德化县凤池楼配套幼儿园</t>
  </si>
  <si>
    <t>闽发改备〔2019〕C110568号</t>
  </si>
  <si>
    <t>教学楼及配套设施建设</t>
  </si>
  <si>
    <t>长泰区</t>
  </si>
  <si>
    <t>长泰经济开发区</t>
  </si>
  <si>
    <t>漳州市长泰区兴泰实验幼儿园</t>
  </si>
  <si>
    <t>漳泰发改批〔2022〕1号</t>
  </si>
  <si>
    <t>教学楼及配套工程</t>
  </si>
  <si>
    <t>云霄县</t>
  </si>
  <si>
    <t>莆美镇</t>
  </si>
  <si>
    <t>云霄县莆美幼儿园二期（Ｂ区）</t>
  </si>
  <si>
    <t>云发改审〔2016〕59号</t>
  </si>
  <si>
    <t>幼儿园教学综合楼</t>
  </si>
  <si>
    <t>平和县</t>
  </si>
  <si>
    <t>平和县小溪镇</t>
  </si>
  <si>
    <t>平和县新星幼儿园第二分园</t>
  </si>
  <si>
    <t>平行审投资〔2021〕17号</t>
  </si>
  <si>
    <t>园舍建设及附属配套设施</t>
  </si>
  <si>
    <t>东山县</t>
  </si>
  <si>
    <t>西埔镇</t>
  </si>
  <si>
    <t>东山一中附属幼儿园</t>
  </si>
  <si>
    <t>东发改审〔2022〕2号</t>
  </si>
  <si>
    <t>规划设计一座建筑面积为3200平方的新教学楼和改造东山一中原食堂为幼儿园的生活用房及新园的配套设施</t>
  </si>
  <si>
    <t>漳州台商投资区</t>
  </si>
  <si>
    <t>沙坂小学附属幼儿园</t>
  </si>
  <si>
    <t>漳台经审〔2020〕102号</t>
  </si>
  <si>
    <t>教学楼1幢及配套工程</t>
  </si>
  <si>
    <t>芗城区</t>
  </si>
  <si>
    <t>芝山街道</t>
  </si>
  <si>
    <t>芝山第二幼儿园</t>
  </si>
  <si>
    <t>闽发改备〔2019〕E010295</t>
  </si>
  <si>
    <t>教学综合楼1栋，建筑面积3200平方米。</t>
  </si>
  <si>
    <t>石亭街道</t>
  </si>
  <si>
    <t>石亭第三幼儿园</t>
  </si>
  <si>
    <t>漳芗发改审〔2019〕43号</t>
  </si>
  <si>
    <t>教学综合楼1栋，建筑面积2816平方米。</t>
  </si>
  <si>
    <t>南坑街道</t>
  </si>
  <si>
    <t>南坑第三幼儿园</t>
  </si>
  <si>
    <t>漳芗发改审〔2019〕1号</t>
  </si>
  <si>
    <t>龙文区</t>
  </si>
  <si>
    <t>龙文区蓝田街道</t>
  </si>
  <si>
    <t>保利世茂配套幼儿园</t>
  </si>
  <si>
    <t>闽发改备〔2018〕E020076</t>
  </si>
  <si>
    <t>位于新浦东路南侧、龙文南路西侧（保利世茂小区西南侧）。规划占地面积约7.8亩，总建筑面积约4600平方米，主要对幼儿园园舍、教学楼改造及附属设施建设。</t>
  </si>
  <si>
    <t>2022年4月</t>
  </si>
  <si>
    <t>2022年8月</t>
  </si>
  <si>
    <t>龙文区景山街道</t>
  </si>
  <si>
    <t>宝龙配套幼儿园</t>
  </si>
  <si>
    <t>闽发改备〔2018〕E020144</t>
  </si>
  <si>
    <t>位于蓝田开发区管委会东侧、梧桥中路北侧（宝龙云景里小区东侧）。规划占地面积约7.65亩，总建筑面积约4204平方米，主要对幼儿园园舍、教学楼改造及附属设施建设。</t>
  </si>
  <si>
    <t>龙文区步文街道</t>
  </si>
  <si>
    <t>融信漳州公馆配套幼儿园</t>
  </si>
  <si>
    <t>闽发改备〔2017〕E02023</t>
  </si>
  <si>
    <t>位于龙江北路西侧、漳华东路北侧（融信漳州公馆小区东侧）。规划占地面积约4.05亩，总建筑面积约2548平方米，主要对幼儿园园舍、教学楼改造及附属设施建设。</t>
  </si>
  <si>
    <t>2022年12月</t>
  </si>
  <si>
    <t>建发文昌府配套幼儿园</t>
  </si>
  <si>
    <t>闽发改备〔2019〕E020155</t>
  </si>
  <si>
    <t>位于南昌东路北侧、浦头港西侧（建发文昌府小区西南侧），规划占地面积约6.08亩，总建筑面积约3146平方米，主要对幼儿园园舍、教学楼改造及附属设施建设。</t>
  </si>
  <si>
    <t>2022年10月</t>
  </si>
  <si>
    <t>2023年8月</t>
  </si>
  <si>
    <t>南靖县</t>
  </si>
  <si>
    <t>山城镇</t>
  </si>
  <si>
    <t>南靖县实验幼儿园荆东园区</t>
  </si>
  <si>
    <t>闽发改备〔2020〕E090252号</t>
  </si>
  <si>
    <t>建设幼儿园综合楼4900平方米并完善相关附属设施。</t>
  </si>
  <si>
    <t>2022年5月</t>
  </si>
  <si>
    <t>2023年5月</t>
  </si>
  <si>
    <t>漳州开发区</t>
  </si>
  <si>
    <t>漳州开发区第二幼儿园</t>
  </si>
  <si>
    <t>闽发改备〔2019〕E120016号</t>
  </si>
  <si>
    <t>教学楼</t>
  </si>
  <si>
    <t>安置房小区配套</t>
  </si>
  <si>
    <t>建阳区</t>
  </si>
  <si>
    <t>潭城街道</t>
  </si>
  <si>
    <t>南平市建阳区景龙
幼儿园</t>
  </si>
  <si>
    <t>潭发科〔2020〕128号（项目）
潭发科〔2021〕174号（业主名称变更）</t>
  </si>
  <si>
    <t>幼儿教学综合楼</t>
  </si>
  <si>
    <t>建瓯市</t>
  </si>
  <si>
    <t>建瓯市高铁片区</t>
  </si>
  <si>
    <t>建瓯市高铁幼儿园</t>
  </si>
  <si>
    <t>瓯发科审批〔2021〕125号</t>
  </si>
  <si>
    <t xml:space="preserve">新建教学综合楼一幢4300平方米、运动场、门房、大门、围墙、校内消防道路、排污管道、绿化及设施设备等附属工程建设。
</t>
  </si>
  <si>
    <t>建瓯市玉山镇</t>
  </si>
  <si>
    <t>建瓯市玉山镇中心幼儿园</t>
  </si>
  <si>
    <t>瓯发科审批〔2021〕83号</t>
  </si>
  <si>
    <t>新建教学综合楼一幢3500平方米、运动场、门房、大门、围墙、校内消防道路、排污管道、绿化及设施设备等附属工程建设。</t>
  </si>
  <si>
    <t>建瓯市小桥镇
阳泽村</t>
  </si>
  <si>
    <t>建瓯市小桥镇阳泽幼儿园</t>
  </si>
  <si>
    <t>新建教学综合楼一幢1200平方米、运动场、门房、大门、围墙、校内消防道路、排污管道、绿化及设施设备等附属工程建设。</t>
  </si>
  <si>
    <t>建安街道</t>
  </si>
  <si>
    <t>中晟华庭小区配建幼儿园</t>
  </si>
  <si>
    <t>省发改项目代码2019-350783-70-03-008910</t>
  </si>
  <si>
    <t>松溪县</t>
  </si>
  <si>
    <t>松源街道</t>
  </si>
  <si>
    <t>湛卢幼儿园</t>
  </si>
  <si>
    <t>松发科〔2020〕审批82号</t>
  </si>
  <si>
    <t>教学综合楼2栋，建筑面积8200平方米</t>
  </si>
  <si>
    <t>河东乡下畲幼儿园</t>
  </si>
  <si>
    <t>教学综合楼1栋，建筑面积6200平方米教学用房，</t>
  </si>
  <si>
    <t>旧县乡</t>
  </si>
  <si>
    <t>旧县乡旧县幼儿园</t>
  </si>
  <si>
    <t>附属设施建设</t>
  </si>
  <si>
    <t>河东乡</t>
  </si>
  <si>
    <t>河东乡大布幼儿园</t>
  </si>
  <si>
    <t>渭田镇</t>
  </si>
  <si>
    <t>渭田镇吴村幼儿园</t>
  </si>
  <si>
    <t>溪东乡</t>
  </si>
  <si>
    <t>溪东乡周墩幼儿园</t>
  </si>
  <si>
    <t>浦城县</t>
  </si>
  <si>
    <t>厨房主、班级、活动场</t>
  </si>
  <si>
    <t>永兴镇</t>
  </si>
  <si>
    <t>浦城县永兴中心幼儿园　</t>
  </si>
  <si>
    <t>浦发改【2022】基字04号</t>
  </si>
  <si>
    <t>教学楼1栋3层</t>
  </si>
  <si>
    <t>莲塘镇</t>
  </si>
  <si>
    <t>莲塘中心幼儿园</t>
  </si>
  <si>
    <t>浦发改【2022】基字06号</t>
  </si>
  <si>
    <t>武夷山市</t>
  </si>
  <si>
    <t>崇安街道办</t>
  </si>
  <si>
    <t>百花幼儿园分园</t>
  </si>
  <si>
    <t>武发改审批（2021）114号</t>
  </si>
  <si>
    <t>教学楼、教学综合楼、食堂餐厅及附属配套设施设备等</t>
  </si>
  <si>
    <t>2024.12</t>
  </si>
  <si>
    <t>新丰街道办</t>
  </si>
  <si>
    <t>武夷学院附属幼儿园</t>
  </si>
  <si>
    <t>延平区</t>
  </si>
  <si>
    <t>延平区茫荡镇</t>
  </si>
  <si>
    <t>南平市茫荡中心幼儿园南针校区</t>
  </si>
  <si>
    <t>政和县</t>
  </si>
  <si>
    <t>熊山街道</t>
  </si>
  <si>
    <t>第五实验幼儿园</t>
  </si>
  <si>
    <t>教学楼2栋</t>
  </si>
  <si>
    <t>邵武市</t>
  </si>
  <si>
    <t>通泰街道</t>
  </si>
  <si>
    <t>顺昌县</t>
  </si>
  <si>
    <t>顺昌县仁寿镇</t>
  </si>
  <si>
    <t>仁寿中心幼儿园</t>
  </si>
  <si>
    <t>改扩建教学活动室面积350平方米，新增3个教学班，添置教学设施设备及幼儿玩具等。</t>
  </si>
  <si>
    <t>新罗区</t>
  </si>
  <si>
    <t>西城街道</t>
  </si>
  <si>
    <t>新罗区西城第一中心幼儿园</t>
  </si>
  <si>
    <t>龙新发改审批（2020）51号</t>
  </si>
  <si>
    <t>新建教学综合楼及配套附属设施等，总建筑面积4300平方米，其中地上建筑面积3900平方米，地下建筑面积400平方米。</t>
  </si>
  <si>
    <t>曹溪街道</t>
  </si>
  <si>
    <t>城发汇金望境幼儿园</t>
  </si>
  <si>
    <t>闽发改备（2018）F010476号</t>
  </si>
  <si>
    <t>幼儿园教学楼及配套设施等，教学规模18个班</t>
  </si>
  <si>
    <t>中城街道</t>
  </si>
  <si>
    <t>世家文苑幼儿园</t>
  </si>
  <si>
    <t>闽发改备（2020）F010374号</t>
  </si>
  <si>
    <t>幼儿园教学楼及配套设施等，教学规模9个班</t>
  </si>
  <si>
    <t>西陂街道</t>
  </si>
  <si>
    <t>书华文郡幼儿园</t>
  </si>
  <si>
    <t>闽发改备﹝2019﹞F010576号</t>
  </si>
  <si>
    <t>幼儿园教学楼及配套设施等，教学规模12个班</t>
  </si>
  <si>
    <t>印象铂郡幼儿园</t>
  </si>
  <si>
    <t>闽发改备﹝2019﹞F010337号</t>
  </si>
  <si>
    <t>幼儿园教学楼、活动室及配套设施等，教学规模12个班</t>
  </si>
  <si>
    <t>东肖镇</t>
  </si>
  <si>
    <t>璞玉滨江幼儿园</t>
  </si>
  <si>
    <t>闽发改备﹝2019﹞F080032号</t>
  </si>
  <si>
    <t>南城街道</t>
  </si>
  <si>
    <t>世家望樾花园幼儿园</t>
  </si>
  <si>
    <t>闽发改备〔2021〕F010024号</t>
  </si>
  <si>
    <t>适中镇保丰村</t>
  </si>
  <si>
    <t>新罗区适中镇保丰村幼儿园</t>
  </si>
  <si>
    <t>龙新发改审批（2021）64号</t>
  </si>
  <si>
    <t>新建教学综合楼及配套附属设施等</t>
  </si>
  <si>
    <t>长汀县</t>
  </si>
  <si>
    <t>汀州镇</t>
  </si>
  <si>
    <t>长汀县第三实验幼儿园</t>
  </si>
  <si>
    <t>汀发改审批（2022）4号</t>
  </si>
  <si>
    <t>新建综合楼一栋，建筑面积约4974平方米，办园规模为12个教学班，建成后可容纳幼儿360名，配套建设户外活动场地、绿化、道路、消防水池、围墙及校门等</t>
  </si>
  <si>
    <t>长汀县城关第二中心幼儿园</t>
  </si>
  <si>
    <t>汀发改审批（2022）5号</t>
  </si>
  <si>
    <t>新建综合楼一栋，建筑面积约4250平方米，办园规模为12个教学班，建成后可容纳幼儿360名，配套建设户外活动场地、绿化、道路、消防水池、围墙及校门等</t>
  </si>
  <si>
    <t>永定区</t>
  </si>
  <si>
    <t>永定区仙师镇</t>
  </si>
  <si>
    <t>仙师中心移民幼儿园</t>
  </si>
  <si>
    <t>永发改审〔2020〕85号</t>
  </si>
  <si>
    <t>新建教学综合楼及排水、消防等附属配套工程</t>
  </si>
  <si>
    <t>永定区湖山乡</t>
  </si>
  <si>
    <t>湖山中心幼儿园</t>
  </si>
  <si>
    <t>永发改审［2022］9号</t>
  </si>
  <si>
    <t>永定区岐岭乡</t>
  </si>
  <si>
    <t>岐岭中心幼儿园</t>
  </si>
  <si>
    <t>永发改审［2022］10号</t>
  </si>
  <si>
    <t>永定区湖雷镇</t>
  </si>
  <si>
    <t>湖雷中心幼儿园</t>
  </si>
  <si>
    <t>教学楼及附属配套工程</t>
  </si>
  <si>
    <t>永定区凤城街道</t>
  </si>
  <si>
    <t>永定区湖坑镇</t>
  </si>
  <si>
    <t>湖坑中心幼儿园</t>
  </si>
  <si>
    <t>永定区培丰镇</t>
  </si>
  <si>
    <t>培丰中心幼儿园</t>
  </si>
  <si>
    <t>永定区古竹乡</t>
  </si>
  <si>
    <t>古竹中心幼儿园</t>
  </si>
  <si>
    <t>永定区坎市镇</t>
  </si>
  <si>
    <t>坎市文秀实验幼儿园</t>
  </si>
  <si>
    <t>永发改审［2022］16号</t>
  </si>
  <si>
    <t>上杭县</t>
  </si>
  <si>
    <t>城南幼儿园改造项目</t>
  </si>
  <si>
    <t>改造幼儿园一栋教学综合楼4075平方米及附属设施</t>
  </si>
  <si>
    <t>第二实验幼儿园改造项目</t>
  </si>
  <si>
    <t>改造幼儿园一栋教学综合楼5968平方米及附属设施</t>
  </si>
  <si>
    <t>南阳射山幼儿园项目</t>
  </si>
  <si>
    <t>新建一栋四层教学综合楼，建筑面积为2012   平方米</t>
  </si>
  <si>
    <t>上杭县茶地镇</t>
  </si>
  <si>
    <t>茶地中心幼儿园改扩建项目</t>
  </si>
  <si>
    <t>维修改造一栋四层教学楼及附属设施</t>
  </si>
  <si>
    <t>武平县</t>
  </si>
  <si>
    <t>城厢镇</t>
  </si>
  <si>
    <t>武平县至真幼儿园（暂名）</t>
  </si>
  <si>
    <t>暂无</t>
  </si>
  <si>
    <t>新建教学综合楼一幢及围墙、档墙、给排水、电力、通讯、绿化硬化、校园文化建设。大型玩具及教学设备购置。</t>
  </si>
  <si>
    <t>漳平市</t>
  </si>
  <si>
    <t>漳平市永福镇吕坊村</t>
  </si>
  <si>
    <t>漳平市毓秀幼儿园</t>
  </si>
  <si>
    <t>漳发改审批〔2021〕72号</t>
  </si>
  <si>
    <t>新建教学综合楼、塑胶操场、足球场等附属设施。</t>
  </si>
  <si>
    <t>漳平市桂林街道</t>
  </si>
  <si>
    <t>漳平市桂林中心幼儿园</t>
  </si>
  <si>
    <t>漳发改审〔2021〕8号</t>
  </si>
  <si>
    <t>教学楼和附属设施等</t>
  </si>
  <si>
    <t>漳平市南洋镇南洋村</t>
  </si>
  <si>
    <t>漳平市南洋中心幼儿园</t>
  </si>
  <si>
    <t>漳发改审批〔2022〕1号</t>
  </si>
  <si>
    <t>教学楼及附属设施、设备等</t>
  </si>
  <si>
    <t>漳平市永福镇石洪村</t>
  </si>
  <si>
    <t>漳平市永福中心幼儿园</t>
  </si>
  <si>
    <t>漳发改审批〔2021〕71号</t>
  </si>
  <si>
    <t>教学综合楼、塑胶操场、围墙、景观绿化等附属设施、设备。</t>
  </si>
  <si>
    <t>漳平市永福镇福里村</t>
  </si>
  <si>
    <t>漳平市永福菁华幼儿园</t>
  </si>
  <si>
    <t>漳发改审批〔2021〕73号</t>
  </si>
  <si>
    <t>教学综合楼及塑胶操场、围墙等附属设施、设备。</t>
  </si>
  <si>
    <t>连城县</t>
  </si>
  <si>
    <t>掲乐乡</t>
  </si>
  <si>
    <t>掲乐中心幼儿园</t>
  </si>
  <si>
    <t>正在办理</t>
  </si>
  <si>
    <t>教学楼及附属设施</t>
  </si>
  <si>
    <t>宣和镇</t>
  </si>
  <si>
    <t>宣和中心幼儿园</t>
  </si>
  <si>
    <t>连发改审批（2021）118号</t>
  </si>
  <si>
    <t>莲峰镇李坊村</t>
  </si>
  <si>
    <t>实验小学附属幼儿园</t>
  </si>
  <si>
    <t>旧楼原址改建教学楼</t>
  </si>
  <si>
    <t>福鼎市</t>
  </si>
  <si>
    <t>前岐镇</t>
  </si>
  <si>
    <t>前岐第三幼儿园</t>
  </si>
  <si>
    <t>鼎发改审批〔2021〕126号</t>
  </si>
  <si>
    <t>综合楼及室外附属工程</t>
  </si>
  <si>
    <t>蕉城区</t>
  </si>
  <si>
    <t>蕉北街道</t>
  </si>
  <si>
    <t>西岭路幼儿园</t>
  </si>
  <si>
    <t>宁区发改审批〔2021〕38号</t>
  </si>
  <si>
    <t>洋中镇</t>
  </si>
  <si>
    <t>洋中中心幼儿园</t>
  </si>
  <si>
    <t>屏南县</t>
  </si>
  <si>
    <t>古峰镇</t>
  </si>
  <si>
    <t>屏南县机关幼儿园</t>
  </si>
  <si>
    <t>屏发改审批〔2021〕39号</t>
  </si>
  <si>
    <t>寿宁县</t>
  </si>
  <si>
    <t>南阳镇</t>
  </si>
  <si>
    <t>南阳幼儿园</t>
  </si>
  <si>
    <t>对原有建筑进行改造成教室及配套附属室外设施、围墙等。</t>
  </si>
  <si>
    <t>鳌阳镇</t>
  </si>
  <si>
    <t>鳌阳幼儿园（技校区）</t>
  </si>
  <si>
    <t>寿发改审批〔2020〕1</t>
  </si>
  <si>
    <t>在一期竣工投用的基础上，对原有建筑进行改造成教室及配套附属设施等</t>
  </si>
  <si>
    <t>柘荣县</t>
  </si>
  <si>
    <t>双城镇</t>
  </si>
  <si>
    <t>柘荣县机关幼儿园</t>
  </si>
  <si>
    <t>对原有班级进行改建、配建附属工程、购置设备等</t>
  </si>
  <si>
    <t>柘荣县机关幼儿园分园</t>
  </si>
  <si>
    <t>福安市</t>
  </si>
  <si>
    <t>穆云乡</t>
  </si>
  <si>
    <t>穆云中心幼儿园二期</t>
  </si>
  <si>
    <t>安发改审批〔2018〕81号</t>
  </si>
  <si>
    <t>在一期竣工投用的基础上，进行二期改扩建及附属建设、购置设备等</t>
  </si>
  <si>
    <t>坂中乡</t>
  </si>
  <si>
    <t>福安市第二实验幼儿园东百分园</t>
  </si>
  <si>
    <t>安发改〔2016〕481号</t>
  </si>
  <si>
    <t>福安市第一实验幼儿园教育集团亭兜分园</t>
  </si>
  <si>
    <t>安政地〔2015〕203号</t>
  </si>
  <si>
    <t>城阳镇</t>
  </si>
  <si>
    <t>福安市天汇小区幼儿园</t>
  </si>
  <si>
    <t>闽发改备〔2018〕J02112号</t>
  </si>
  <si>
    <t>幼儿园教学楼、活动室及配套设施设备添置等，教学规模9个班</t>
  </si>
  <si>
    <t>城北街道</t>
  </si>
  <si>
    <t>福安市王基岭廉租房小区幼儿园</t>
  </si>
  <si>
    <t>安政地〔2011〕209号</t>
  </si>
  <si>
    <t>幼儿园教学楼、活动室及配套设施设备添置等，教学规模6个班</t>
  </si>
  <si>
    <t>东侨区</t>
  </si>
  <si>
    <t>东侨</t>
  </si>
  <si>
    <t>大东海翡翠湖小区配套幼儿园</t>
  </si>
  <si>
    <t>闽发改备〔2020〕100056</t>
  </si>
  <si>
    <t>幼儿园教学楼及配套设施等，12个班规模</t>
  </si>
  <si>
    <t>2022年12月底前</t>
  </si>
  <si>
    <t>周宁县</t>
  </si>
  <si>
    <t>狮城镇</t>
  </si>
  <si>
    <t>狮城第一幼儿园</t>
  </si>
  <si>
    <t>福州市平潭县翠园中路及翠园</t>
  </si>
  <si>
    <t>平潭实验幼儿园</t>
  </si>
  <si>
    <t>岚综实项目审批〔2021〕129号</t>
  </si>
  <si>
    <t>教学楼、消控中心、配电房、完善消防设备等附属配套</t>
  </si>
  <si>
    <t>2100</t>
  </si>
  <si>
    <t>海坛片区</t>
  </si>
  <si>
    <t>富春城幼儿园</t>
  </si>
  <si>
    <t>教学用房、教师办公用房、厨房内部装修及附属设施设备配套等</t>
  </si>
  <si>
    <t>1130</t>
  </si>
  <si>
    <t>麒麟湾天逸幼儿园</t>
  </si>
  <si>
    <t>金井片区</t>
  </si>
  <si>
    <t>正荣.悦玺幼儿园</t>
  </si>
  <si>
    <t>1150</t>
  </si>
  <si>
    <t>附件3</t>
  </si>
  <si>
    <t>2019-2021年分地市学前教育综合发展情况表</t>
  </si>
  <si>
    <t>公办园在园幼儿比例（%）</t>
  </si>
  <si>
    <t>学前教育普惠率（%）</t>
  </si>
  <si>
    <t>综合
评分</t>
  </si>
  <si>
    <t>排名</t>
  </si>
  <si>
    <t>2019年</t>
  </si>
  <si>
    <t>2020年</t>
  </si>
  <si>
    <t>2021年</t>
  </si>
  <si>
    <t>增幅</t>
  </si>
  <si>
    <t>附件2</t>
  </si>
  <si>
    <t>专项资金绩效目标表</t>
  </si>
  <si>
    <t>（ 2022年度）</t>
  </si>
  <si>
    <t>项目名称</t>
  </si>
  <si>
    <t>公办幼儿园建设项目补助</t>
  </si>
  <si>
    <t>主管部门（单位）名称及部门预算编码</t>
  </si>
  <si>
    <t>省教育厅</t>
  </si>
  <si>
    <t>补助项目/区域</t>
  </si>
  <si>
    <t>全省</t>
  </si>
  <si>
    <t>资金情况               （万元）</t>
  </si>
  <si>
    <t xml:space="preserve"> 资金总额：</t>
  </si>
  <si>
    <t>59036万元</t>
  </si>
  <si>
    <t xml:space="preserve">     其中：财政拨款</t>
  </si>
  <si>
    <t xml:space="preserve">           其他资金</t>
  </si>
  <si>
    <t>总体目标</t>
  </si>
  <si>
    <t>多渠道扩大普惠性学前教育资源，加快解决城区和城乡结合部学前教育资源不足问题。</t>
  </si>
  <si>
    <t>绩     效     指     标</t>
  </si>
  <si>
    <t>一级指标</t>
  </si>
  <si>
    <t>二级指标</t>
  </si>
  <si>
    <t>三级指标</t>
  </si>
  <si>
    <t>指标解释</t>
  </si>
  <si>
    <t>目标值</t>
  </si>
  <si>
    <t>产出指标</t>
  </si>
  <si>
    <t>数量指标</t>
  </si>
  <si>
    <t>支持建设学校数量</t>
  </si>
  <si>
    <t>反映支持建设学校数量</t>
  </si>
  <si>
    <t>福州市38所</t>
  </si>
  <si>
    <t>漳州市14所</t>
  </si>
  <si>
    <t>泉州市33所</t>
  </si>
  <si>
    <t>莆田市20所</t>
  </si>
  <si>
    <t>三明市20所</t>
  </si>
  <si>
    <t>南平市19所</t>
  </si>
  <si>
    <t>龙岩市32所</t>
  </si>
  <si>
    <t>宁德市15所</t>
  </si>
  <si>
    <t>平潭综合实验区4所</t>
  </si>
  <si>
    <t>质量指标</t>
  </si>
  <si>
    <t>全省学前入学率</t>
  </si>
  <si>
    <t>反映全省学前入园率</t>
  </si>
  <si>
    <t>≥98%</t>
  </si>
  <si>
    <t>本年度公办幼儿园项目建设开工率</t>
  </si>
  <si>
    <t>效益指标</t>
  </si>
  <si>
    <t>社会效益
指标</t>
  </si>
  <si>
    <t>全省公办幼儿园在园幼儿数占比</t>
  </si>
  <si>
    <t>反映全省公办幼儿园在园幼儿数占比</t>
  </si>
  <si>
    <t>≥50%</t>
  </si>
  <si>
    <t>全省普惠性学前教育资源覆盖率</t>
  </si>
  <si>
    <t>反映全省普惠性学前教育资源覆盖率</t>
  </si>
  <si>
    <t>满意度指标</t>
  </si>
  <si>
    <t>服务对象
满意度指标</t>
  </si>
  <si>
    <t>师生满意度</t>
  </si>
  <si>
    <t>反映师生满意度</t>
  </si>
  <si>
    <t>注：指标解释是对绩效目标三级指标进行解释说明，可填列该指标内涵解释、设置依据、计算方法等</t>
  </si>
</sst>
</file>

<file path=xl/styles.xml><?xml version="1.0" encoding="utf-8"?>
<styleSheet xmlns="http://schemas.openxmlformats.org/spreadsheetml/2006/main">
  <numFmts count="10">
    <numFmt numFmtId="176" formatCode="0_ "/>
    <numFmt numFmtId="177" formatCode="yyyy&quot;年&quot;m&quot;月&quot;d&quot;日&quot;;@"/>
    <numFmt numFmtId="178" formatCode="0.00_);\(0.00\)"/>
    <numFmt numFmtId="179" formatCode="0.00_ "/>
    <numFmt numFmtId="42" formatCode="_ &quot;￥&quot;* #,##0_ ;_ &quot;￥&quot;* \-#,##0_ ;_ &quot;￥&quot;* &quot;-&quot;_ ;_ @_ "/>
    <numFmt numFmtId="180" formatCode="0;[Red]0"/>
    <numFmt numFmtId="44" formatCode="_ &quot;￥&quot;* #,##0.00_ ;_ &quot;￥&quot;* \-#,##0.00_ ;_ &quot;￥&quot;* &quot;-&quot;??_ ;_ @_ "/>
    <numFmt numFmtId="43" formatCode="_ * #,##0.00_ ;_ * \-#,##0.00_ ;_ * &quot;-&quot;??_ ;_ @_ "/>
    <numFmt numFmtId="181" formatCode="yyyy&quot;年&quot;m&quot;月&quot;;@"/>
    <numFmt numFmtId="41" formatCode="_ * #,##0_ ;_ * \-#,##0_ ;_ * &quot;-&quot;_ ;_ @_ "/>
  </numFmts>
  <fonts count="42">
    <font>
      <sz val="11"/>
      <color theme="1"/>
      <name val="宋体"/>
      <charset val="134"/>
      <scheme val="minor"/>
    </font>
    <font>
      <sz val="16"/>
      <color theme="1"/>
      <name val="黑体"/>
      <charset val="134"/>
    </font>
    <font>
      <sz val="18"/>
      <color theme="1"/>
      <name val="方正小标宋简体"/>
      <charset val="134"/>
    </font>
    <font>
      <sz val="12"/>
      <color theme="1"/>
      <name val="仿宋"/>
      <charset val="134"/>
    </font>
    <font>
      <sz val="12"/>
      <name val="仿宋"/>
      <charset val="134"/>
    </font>
    <font>
      <b/>
      <sz val="11"/>
      <color theme="1"/>
      <name val="宋体"/>
      <charset val="134"/>
      <scheme val="minor"/>
    </font>
    <font>
      <b/>
      <sz val="20"/>
      <color theme="1"/>
      <name val="宋体"/>
      <charset val="134"/>
    </font>
    <font>
      <b/>
      <sz val="12"/>
      <color theme="1"/>
      <name val="宋体"/>
      <charset val="134"/>
      <scheme val="minor"/>
    </font>
    <font>
      <sz val="12"/>
      <color theme="1"/>
      <name val="宋体"/>
      <charset val="134"/>
      <scheme val="minor"/>
    </font>
    <font>
      <sz val="11"/>
      <name val="宋体"/>
      <charset val="134"/>
      <scheme val="minor"/>
    </font>
    <font>
      <b/>
      <sz val="11"/>
      <name val="宋体"/>
      <charset val="134"/>
      <scheme val="minor"/>
    </font>
    <font>
      <sz val="11"/>
      <name val="宋体"/>
      <charset val="134"/>
    </font>
    <font>
      <sz val="10"/>
      <name val="宋体"/>
      <charset val="134"/>
    </font>
    <font>
      <sz val="12"/>
      <name val="宋体"/>
      <charset val="134"/>
    </font>
    <font>
      <sz val="10"/>
      <name val="宋体"/>
      <charset val="134"/>
      <scheme val="minor"/>
    </font>
    <font>
      <sz val="18"/>
      <name val="黑体"/>
      <charset val="134"/>
    </font>
    <font>
      <b/>
      <sz val="22"/>
      <name val="宋体"/>
      <charset val="134"/>
      <scheme val="major"/>
    </font>
    <font>
      <sz val="22"/>
      <name val="宋体"/>
      <charset val="134"/>
      <scheme val="major"/>
    </font>
    <font>
      <b/>
      <sz val="10"/>
      <name val="宋体"/>
      <charset val="134"/>
      <scheme val="minor"/>
    </font>
    <font>
      <sz val="9"/>
      <name val="仿宋"/>
      <charset val="134"/>
    </font>
    <font>
      <sz val="12"/>
      <color theme="1"/>
      <name val="黑体"/>
      <charset val="134"/>
    </font>
    <font>
      <sz val="12"/>
      <color indexed="8"/>
      <name val="宋体"/>
      <charset val="134"/>
    </font>
    <font>
      <sz val="11"/>
      <color theme="1"/>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sz val="11"/>
      <color rgb="FF9C0006"/>
      <name val="宋体"/>
      <charset val="0"/>
      <scheme val="minor"/>
    </font>
    <font>
      <b/>
      <sz val="11"/>
      <color rgb="FFFA7D00"/>
      <name val="宋体"/>
      <charset val="0"/>
      <scheme val="minor"/>
    </font>
    <font>
      <sz val="11"/>
      <color indexed="8"/>
      <name val="宋体"/>
      <charset val="134"/>
    </font>
    <font>
      <b/>
      <sz val="11"/>
      <color theme="1"/>
      <name val="宋体"/>
      <charset val="0"/>
      <scheme val="minor"/>
    </font>
    <font>
      <i/>
      <sz val="11"/>
      <color rgb="FF7F7F7F"/>
      <name val="宋体"/>
      <charset val="0"/>
      <scheme val="minor"/>
    </font>
    <font>
      <sz val="11"/>
      <color rgb="FFFF0000"/>
      <name val="宋体"/>
      <charset val="0"/>
      <scheme val="minor"/>
    </font>
    <font>
      <u/>
      <sz val="11"/>
      <color rgb="FF800080"/>
      <name val="宋体"/>
      <charset val="0"/>
      <scheme val="minor"/>
    </font>
    <font>
      <b/>
      <sz val="18"/>
      <color theme="3"/>
      <name val="宋体"/>
      <charset val="134"/>
      <scheme val="minor"/>
    </font>
    <font>
      <b/>
      <sz val="15"/>
      <color theme="3"/>
      <name val="宋体"/>
      <charset val="134"/>
      <scheme val="minor"/>
    </font>
    <font>
      <u/>
      <sz val="11"/>
      <color rgb="FF0000FF"/>
      <name val="宋体"/>
      <charset val="0"/>
      <scheme val="minor"/>
    </font>
    <font>
      <b/>
      <sz val="11"/>
      <color rgb="FF3F3F3F"/>
      <name val="宋体"/>
      <charset val="0"/>
      <scheme val="minor"/>
    </font>
    <font>
      <b/>
      <sz val="11"/>
      <color rgb="FFFFFFFF"/>
      <name val="宋体"/>
      <charset val="0"/>
      <scheme val="minor"/>
    </font>
    <font>
      <sz val="11"/>
      <color rgb="FF3F3F76"/>
      <name val="宋体"/>
      <charset val="0"/>
      <scheme val="minor"/>
    </font>
    <font>
      <sz val="11"/>
      <color rgb="FFFA7D00"/>
      <name val="宋体"/>
      <charset val="0"/>
      <scheme val="minor"/>
    </font>
  </fonts>
  <fills count="37">
    <fill>
      <patternFill patternType="none"/>
    </fill>
    <fill>
      <patternFill patternType="gray125"/>
    </fill>
    <fill>
      <patternFill patternType="solid">
        <fgColor rgb="FF92D050"/>
        <bgColor indexed="64"/>
      </patternFill>
    </fill>
    <fill>
      <patternFill patternType="solid">
        <fgColor rgb="FFC00000"/>
        <bgColor indexed="64"/>
      </patternFill>
    </fill>
    <fill>
      <patternFill patternType="solid">
        <fgColor indexed="9"/>
        <bgColor indexed="64"/>
      </patternFill>
    </fill>
    <fill>
      <patternFill patternType="solid">
        <fgColor theme="0"/>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6"/>
        <bgColor indexed="64"/>
      </patternFill>
    </fill>
    <fill>
      <patternFill patternType="solid">
        <fgColor rgb="FFC6EFCE"/>
        <bgColor indexed="64"/>
      </patternFill>
    </fill>
    <fill>
      <patternFill patternType="solid">
        <fgColor theme="8"/>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rgb="FFF2F2F2"/>
        <bgColor indexed="64"/>
      </patternFill>
    </fill>
    <fill>
      <patternFill patternType="solid">
        <fgColor theme="9"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6" tint="0.399975585192419"/>
        <bgColor indexed="64"/>
      </patternFill>
    </fill>
    <fill>
      <patternFill patternType="solid">
        <fgColor rgb="FFA5A5A5"/>
        <bgColor indexed="64"/>
      </patternFill>
    </fill>
    <fill>
      <patternFill patternType="solid">
        <fgColor theme="5" tint="0.799981688894314"/>
        <bgColor indexed="64"/>
      </patternFill>
    </fill>
    <fill>
      <patternFill patternType="solid">
        <fgColor rgb="FFFFCC99"/>
        <bgColor indexed="64"/>
      </patternFill>
    </fill>
    <fill>
      <patternFill patternType="solid">
        <fgColor theme="4"/>
        <bgColor indexed="64"/>
      </patternFill>
    </fill>
    <fill>
      <patternFill patternType="solid">
        <fgColor theme="9" tint="0.399975585192419"/>
        <bgColor indexed="64"/>
      </patternFill>
    </fill>
    <fill>
      <patternFill patternType="solid">
        <fgColor theme="4" tint="0.399975585192419"/>
        <bgColor indexed="64"/>
      </patternFill>
    </fill>
  </fills>
  <borders count="2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top style="thin">
        <color auto="true"/>
      </top>
      <bottom/>
      <diagonal/>
    </border>
    <border>
      <left/>
      <right style="thin">
        <color auto="true"/>
      </right>
      <top style="thin">
        <color auto="true"/>
      </top>
      <bottom/>
      <diagonal/>
    </border>
    <border>
      <left style="thin">
        <color auto="true"/>
      </left>
      <right/>
      <top/>
      <bottom/>
      <diagonal/>
    </border>
    <border>
      <left/>
      <right style="thin">
        <color auto="true"/>
      </right>
      <top/>
      <bottom/>
      <diagonal/>
    </border>
    <border>
      <left style="thin">
        <color auto="true"/>
      </left>
      <right style="thin">
        <color auto="true"/>
      </right>
      <top/>
      <bottom style="thin">
        <color auto="true"/>
      </bottom>
      <diagonal/>
    </border>
    <border>
      <left/>
      <right/>
      <top style="thin">
        <color auto="true"/>
      </top>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right/>
      <top style="thin">
        <color auto="true"/>
      </top>
      <bottom style="thin">
        <color auto="true"/>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2">
    <xf numFmtId="0" fontId="0" fillId="0" borderId="0">
      <alignment vertical="center"/>
    </xf>
    <xf numFmtId="0" fontId="22" fillId="25" borderId="0" applyNumberFormat="false" applyBorder="false" applyAlignment="false" applyProtection="false">
      <alignment vertical="center"/>
    </xf>
    <xf numFmtId="0" fontId="22" fillId="23" borderId="0" applyNumberFormat="false" applyBorder="false" applyAlignment="false" applyProtection="false">
      <alignment vertical="center"/>
    </xf>
    <xf numFmtId="0" fontId="23" fillId="24"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22" fillId="15" borderId="0" applyNumberFormat="false" applyBorder="false" applyAlignment="false" applyProtection="false">
      <alignment vertical="center"/>
    </xf>
    <xf numFmtId="0" fontId="23" fillId="14"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0" fontId="25" fillId="0" borderId="14"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0" fontId="31" fillId="0" borderId="1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7" fillId="0" borderId="1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23" fillId="18"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22" fillId="32"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36" fillId="0" borderId="13" applyNumberFormat="false" applyFill="false" applyAlignment="false" applyProtection="false">
      <alignment vertical="center"/>
    </xf>
    <xf numFmtId="0" fontId="37" fillId="0" borderId="0" applyNumberFormat="false" applyFill="false" applyBorder="false" applyAlignment="false" applyProtection="false">
      <alignment vertical="center"/>
    </xf>
    <xf numFmtId="0" fontId="22"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2" fillId="28" borderId="0" applyNumberFormat="false" applyBorder="false" applyAlignment="false" applyProtection="false">
      <alignment vertical="center"/>
    </xf>
    <xf numFmtId="0" fontId="29" fillId="22" borderId="16" applyNumberFormat="false" applyAlignment="false" applyProtection="false">
      <alignment vertical="center"/>
    </xf>
    <xf numFmtId="0" fontId="3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3" fillId="29" borderId="0" applyNumberFormat="false" applyBorder="false" applyAlignment="false" applyProtection="false">
      <alignment vertical="center"/>
    </xf>
    <xf numFmtId="0" fontId="22" fillId="20" borderId="0" applyNumberFormat="false" applyBorder="false" applyAlignment="false" applyProtection="false">
      <alignment vertical="center"/>
    </xf>
    <xf numFmtId="0" fontId="23" fillId="35" borderId="0" applyNumberFormat="false" applyBorder="false" applyAlignment="false" applyProtection="false">
      <alignment vertical="center"/>
    </xf>
    <xf numFmtId="0" fontId="40" fillId="33" borderId="16" applyNumberFormat="false" applyAlignment="false" applyProtection="false">
      <alignment vertical="center"/>
    </xf>
    <xf numFmtId="0" fontId="38" fillId="22" borderId="18" applyNumberFormat="false" applyAlignment="false" applyProtection="false">
      <alignment vertical="center"/>
    </xf>
    <xf numFmtId="0" fontId="39" fillId="31" borderId="19" applyNumberFormat="false" applyAlignment="false" applyProtection="false">
      <alignment vertical="center"/>
    </xf>
    <xf numFmtId="0" fontId="41" fillId="0" borderId="20" applyNumberFormat="false" applyFill="false" applyAlignment="false" applyProtection="false">
      <alignment vertical="center"/>
    </xf>
    <xf numFmtId="0" fontId="23" fillId="36" borderId="0" applyNumberFormat="false" applyBorder="false" applyAlignment="false" applyProtection="false">
      <alignment vertical="center"/>
    </xf>
    <xf numFmtId="0" fontId="30" fillId="0" borderId="0">
      <alignment vertical="center"/>
    </xf>
    <xf numFmtId="0" fontId="23" fillId="30" borderId="0" applyNumberFormat="false" applyBorder="false" applyAlignment="false" applyProtection="false">
      <alignment vertical="center"/>
    </xf>
    <xf numFmtId="0" fontId="0" fillId="19" borderId="15" applyNumberFormat="false" applyFont="false" applyAlignment="false" applyProtection="false">
      <alignment vertical="center"/>
    </xf>
    <xf numFmtId="0" fontId="35" fillId="0" borderId="0" applyNumberFormat="false" applyFill="false" applyBorder="false" applyAlignment="false" applyProtection="false">
      <alignment vertical="center"/>
    </xf>
    <xf numFmtId="0" fontId="26" fillId="13"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23" fillId="34" borderId="0" applyNumberFormat="false" applyBorder="false" applyAlignment="false" applyProtection="false">
      <alignment vertical="center"/>
    </xf>
    <xf numFmtId="0" fontId="13" fillId="0" borderId="0">
      <alignment vertical="center"/>
    </xf>
    <xf numFmtId="0" fontId="24" fillId="11" borderId="0" applyNumberFormat="false" applyBorder="false" applyAlignment="false" applyProtection="false">
      <alignment vertical="center"/>
    </xf>
    <xf numFmtId="0" fontId="22" fillId="10"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23" fillId="9" borderId="0" applyNumberFormat="false" applyBorder="false" applyAlignment="false" applyProtection="false">
      <alignment vertical="center"/>
    </xf>
    <xf numFmtId="0" fontId="22" fillId="8" borderId="0" applyNumberFormat="false" applyBorder="false" applyAlignment="false" applyProtection="false">
      <alignment vertical="center"/>
    </xf>
    <xf numFmtId="0" fontId="30" fillId="0" borderId="0">
      <alignment vertical="center"/>
    </xf>
    <xf numFmtId="0" fontId="23" fillId="7" borderId="0" applyNumberFormat="false" applyBorder="false" applyAlignment="false" applyProtection="false">
      <alignment vertical="center"/>
    </xf>
    <xf numFmtId="0" fontId="22" fillId="6" borderId="0" applyNumberFormat="false" applyBorder="false" applyAlignment="false" applyProtection="false">
      <alignment vertical="center"/>
    </xf>
    <xf numFmtId="0" fontId="23" fillId="12" borderId="0" applyNumberFormat="false" applyBorder="false" applyAlignment="false" applyProtection="false">
      <alignment vertical="center"/>
    </xf>
  </cellStyleXfs>
  <cellXfs count="147">
    <xf numFmtId="0" fontId="0" fillId="0" borderId="0" xfId="0">
      <alignment vertical="center"/>
    </xf>
    <xf numFmtId="0" fontId="0" fillId="0" borderId="0" xfId="0" applyFont="true" applyFill="true" applyBorder="true" applyAlignment="true">
      <alignment vertical="center"/>
    </xf>
    <xf numFmtId="0" fontId="1" fillId="0" borderId="0" xfId="0" applyFont="true" applyFill="true" applyBorder="true" applyAlignment="true">
      <alignment horizontal="justify" vertical="top" wrapText="true"/>
    </xf>
    <xf numFmtId="0" fontId="2" fillId="0" borderId="0" xfId="0" applyFont="true" applyFill="true" applyBorder="true" applyAlignment="true">
      <alignment horizontal="center" vertical="top" wrapText="true"/>
    </xf>
    <xf numFmtId="0" fontId="3" fillId="0" borderId="0"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3" fillId="0" borderId="1" xfId="0" applyFont="true" applyFill="true" applyBorder="true" applyAlignment="true">
      <alignment horizontal="left" vertical="center" wrapText="true"/>
    </xf>
    <xf numFmtId="0" fontId="3" fillId="0" borderId="2"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3" fillId="0" borderId="5" xfId="0" applyFont="true" applyFill="true" applyBorder="true" applyAlignment="true">
      <alignment horizontal="center" vertical="center" wrapText="true"/>
    </xf>
    <xf numFmtId="0" fontId="3" fillId="0" borderId="6" xfId="0" applyFont="true" applyFill="true" applyBorder="true" applyAlignment="true">
      <alignment horizontal="center" vertical="center" wrapText="true"/>
    </xf>
    <xf numFmtId="0" fontId="3" fillId="0" borderId="7"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3" fillId="0" borderId="8" xfId="0" applyFont="true" applyFill="true" applyBorder="true" applyAlignment="true">
      <alignment horizontal="center" vertical="center" wrapText="true"/>
    </xf>
    <xf numFmtId="0" fontId="3" fillId="0" borderId="0" xfId="0" applyFont="true" applyFill="true" applyBorder="true" applyAlignment="true">
      <alignment horizontal="justify" vertical="center" wrapText="true"/>
    </xf>
    <xf numFmtId="0" fontId="3" fillId="0" borderId="9" xfId="0" applyFont="true" applyFill="true" applyBorder="true" applyAlignment="true">
      <alignment horizontal="center" vertical="center" wrapText="true"/>
    </xf>
    <xf numFmtId="0" fontId="3" fillId="0" borderId="10" xfId="0" applyFont="true" applyFill="true" applyBorder="true" applyAlignment="true">
      <alignment horizontal="center" vertical="center" wrapText="true"/>
    </xf>
    <xf numFmtId="0" fontId="3" fillId="0" borderId="11" xfId="0" applyFont="true" applyFill="true" applyBorder="true" applyAlignment="true">
      <alignment horizontal="center" vertical="center" wrapText="true"/>
    </xf>
    <xf numFmtId="9" fontId="4" fillId="0" borderId="1" xfId="0" applyNumberFormat="true" applyFont="true" applyFill="true" applyBorder="true" applyAlignment="true">
      <alignment horizontal="center" vertical="center" wrapText="true"/>
    </xf>
    <xf numFmtId="9" fontId="3" fillId="0" borderId="1" xfId="0" applyNumberFormat="true" applyFont="true" applyFill="true" applyBorder="true" applyAlignment="true">
      <alignment horizontal="center" vertical="center" wrapText="true"/>
    </xf>
    <xf numFmtId="0" fontId="0" fillId="0" borderId="0" xfId="0" applyBorder="true">
      <alignment vertical="center"/>
    </xf>
    <xf numFmtId="0" fontId="5" fillId="0" borderId="0" xfId="0" applyFont="true">
      <alignment vertical="center"/>
    </xf>
    <xf numFmtId="0" fontId="5" fillId="0" borderId="0" xfId="0" applyFont="true" applyAlignment="true">
      <alignment horizontal="center" vertical="center"/>
    </xf>
    <xf numFmtId="179" fontId="0" fillId="0" borderId="0" xfId="0" applyNumberFormat="true">
      <alignment vertical="center"/>
    </xf>
    <xf numFmtId="0" fontId="0" fillId="0" borderId="0" xfId="0" applyAlignment="true">
      <alignment horizontal="center" vertical="center"/>
    </xf>
    <xf numFmtId="0" fontId="1" fillId="0" borderId="0" xfId="0" applyFont="true" applyBorder="true">
      <alignment vertical="center"/>
    </xf>
    <xf numFmtId="0" fontId="6" fillId="0" borderId="0" xfId="0" applyFont="true" applyBorder="true" applyAlignment="true">
      <alignment horizontal="center" vertical="center"/>
    </xf>
    <xf numFmtId="0" fontId="7" fillId="0" borderId="1" xfId="0" applyFont="true" applyBorder="true" applyAlignment="true">
      <alignment horizontal="center" vertical="center"/>
    </xf>
    <xf numFmtId="0" fontId="7" fillId="0" borderId="1" xfId="0" applyFont="true" applyBorder="true" applyAlignment="true">
      <alignment horizontal="center" vertical="center" wrapText="true"/>
    </xf>
    <xf numFmtId="0" fontId="8" fillId="0" borderId="1" xfId="0" applyFont="true" applyBorder="true">
      <alignment vertical="center"/>
    </xf>
    <xf numFmtId="0" fontId="8" fillId="0" borderId="1" xfId="0" applyFont="true" applyBorder="true" applyAlignment="true">
      <alignment vertical="center" wrapText="true"/>
    </xf>
    <xf numFmtId="179" fontId="0" fillId="0" borderId="0" xfId="0" applyNumberFormat="true" applyBorder="true">
      <alignment vertical="center"/>
    </xf>
    <xf numFmtId="0" fontId="0" fillId="0" borderId="0" xfId="0" applyBorder="true" applyAlignment="true">
      <alignment horizontal="center" vertical="center"/>
    </xf>
    <xf numFmtId="179" fontId="6" fillId="0" borderId="0" xfId="0" applyNumberFormat="true" applyFont="true" applyBorder="true" applyAlignment="true">
      <alignment horizontal="center" vertical="center"/>
    </xf>
    <xf numFmtId="179" fontId="7" fillId="0" borderId="1" xfId="0" applyNumberFormat="true" applyFont="true" applyBorder="true" applyAlignment="true">
      <alignment horizontal="center" vertical="center" wrapText="true"/>
    </xf>
    <xf numFmtId="179" fontId="8" fillId="0" borderId="1" xfId="0" applyNumberFormat="true" applyFont="true" applyBorder="true">
      <alignment vertical="center"/>
    </xf>
    <xf numFmtId="0" fontId="8" fillId="0" borderId="1" xfId="0" applyFont="true" applyBorder="true" applyAlignment="true">
      <alignment horizontal="center" vertical="center"/>
    </xf>
    <xf numFmtId="0" fontId="9" fillId="0" borderId="0" xfId="0" applyFont="true">
      <alignment vertical="center"/>
    </xf>
    <xf numFmtId="0" fontId="10" fillId="0" borderId="0" xfId="0" applyFont="true">
      <alignment vertical="center"/>
    </xf>
    <xf numFmtId="0" fontId="10" fillId="0" borderId="0" xfId="0" applyFont="true" applyAlignment="true">
      <alignment vertical="center"/>
    </xf>
    <xf numFmtId="0" fontId="9" fillId="0" borderId="0" xfId="0" applyFont="true" applyFill="true" applyAlignment="true">
      <alignment vertical="center"/>
    </xf>
    <xf numFmtId="0" fontId="9" fillId="0" borderId="0" xfId="0" applyFont="true" applyAlignment="true">
      <alignment vertical="center"/>
    </xf>
    <xf numFmtId="0" fontId="10" fillId="2" borderId="0" xfId="0" applyFont="true" applyFill="true" applyAlignment="true">
      <alignment vertical="center"/>
    </xf>
    <xf numFmtId="0" fontId="9" fillId="0" borderId="0" xfId="0" applyFont="true" applyFill="true" applyAlignment="true">
      <alignment horizontal="center" vertical="center"/>
    </xf>
    <xf numFmtId="0" fontId="11" fillId="0" borderId="0" xfId="0" applyFont="true" applyAlignment="true">
      <alignment horizontal="center" vertical="center"/>
    </xf>
    <xf numFmtId="0" fontId="12" fillId="0" borderId="0" xfId="0" applyFont="true" applyAlignment="true">
      <alignment vertical="center"/>
    </xf>
    <xf numFmtId="0" fontId="12" fillId="0" borderId="0" xfId="0" applyFont="true" applyAlignment="true">
      <alignment horizontal="center" vertical="center"/>
    </xf>
    <xf numFmtId="0" fontId="13" fillId="0" borderId="0" xfId="0" applyFont="true" applyFill="true" applyAlignment="true">
      <alignment horizontal="center" vertical="center"/>
    </xf>
    <xf numFmtId="0" fontId="9" fillId="0" borderId="0" xfId="0" applyFont="true" applyBorder="true" applyAlignment="true">
      <alignment vertical="center"/>
    </xf>
    <xf numFmtId="0" fontId="11" fillId="0" borderId="0" xfId="0" applyFont="true" applyBorder="true" applyAlignment="true">
      <alignment vertical="center"/>
    </xf>
    <xf numFmtId="0" fontId="0" fillId="0" borderId="0" xfId="0" applyAlignment="true">
      <alignment vertical="center" wrapText="true"/>
    </xf>
    <xf numFmtId="0" fontId="0" fillId="0" borderId="0" xfId="0" applyFill="true">
      <alignment vertical="center"/>
    </xf>
    <xf numFmtId="0" fontId="14" fillId="0" borderId="0" xfId="0" applyFont="true" applyFill="true" applyAlignment="true">
      <alignment horizontal="center" vertical="center"/>
    </xf>
    <xf numFmtId="0" fontId="15" fillId="0" borderId="0" xfId="0" applyFont="true" applyFill="true" applyAlignment="true">
      <alignment horizontal="left" vertical="center"/>
    </xf>
    <xf numFmtId="0" fontId="14" fillId="0" borderId="0" xfId="0" applyFont="true" applyFill="true" applyAlignment="true" applyProtection="true">
      <alignment horizontal="center" vertical="center"/>
      <protection locked="false"/>
    </xf>
    <xf numFmtId="0" fontId="16" fillId="0" borderId="0" xfId="0" applyFont="true" applyFill="true" applyAlignment="true">
      <alignment horizontal="center" vertical="center"/>
    </xf>
    <xf numFmtId="0" fontId="16" fillId="0" borderId="0" xfId="0" applyFont="true" applyFill="true" applyAlignment="true" applyProtection="true">
      <alignment horizontal="center" vertical="center"/>
      <protection locked="false"/>
    </xf>
    <xf numFmtId="0" fontId="17" fillId="0" borderId="0" xfId="0" applyFont="true" applyFill="true" applyAlignment="true">
      <alignment horizontal="center" vertical="center"/>
    </xf>
    <xf numFmtId="0" fontId="17" fillId="0" borderId="0" xfId="0" applyFont="true" applyFill="true" applyAlignment="true" applyProtection="true">
      <alignment horizontal="center" vertical="center"/>
      <protection locked="false"/>
    </xf>
    <xf numFmtId="0" fontId="18" fillId="3" borderId="1" xfId="0" applyFont="true" applyFill="true" applyBorder="true" applyAlignment="true">
      <alignment horizontal="center" vertical="center" wrapText="true"/>
    </xf>
    <xf numFmtId="0" fontId="18" fillId="3" borderId="1" xfId="0" applyFont="true" applyFill="true" applyBorder="true" applyAlignment="true" applyProtection="true">
      <alignment horizontal="center" vertical="center" wrapText="true"/>
      <protection locked="false"/>
    </xf>
    <xf numFmtId="0" fontId="18" fillId="2" borderId="1" xfId="0" applyFont="true" applyFill="true" applyBorder="true" applyAlignment="true">
      <alignment horizontal="center" vertical="center"/>
    </xf>
    <xf numFmtId="0" fontId="18" fillId="2" borderId="1" xfId="0" applyFont="true" applyFill="true" applyBorder="true" applyAlignment="true">
      <alignment horizontal="center" vertical="center" wrapText="true"/>
    </xf>
    <xf numFmtId="0" fontId="14" fillId="0" borderId="1" xfId="0" applyFont="true" applyFill="true" applyBorder="true" applyAlignment="true">
      <alignment horizontal="center" vertical="center"/>
    </xf>
    <xf numFmtId="0" fontId="14" fillId="0" borderId="1" xfId="0" applyFont="true" applyFill="true" applyBorder="true" applyAlignment="true">
      <alignment horizontal="center" vertical="center" wrapText="true"/>
    </xf>
    <xf numFmtId="0" fontId="14" fillId="0" borderId="1" xfId="0" applyFont="true" applyFill="true" applyBorder="true" applyAlignment="true">
      <alignment horizontal="left" vertical="center" wrapText="true"/>
    </xf>
    <xf numFmtId="0" fontId="14" fillId="0" borderId="1" xfId="0" applyFont="true" applyBorder="true" applyAlignment="true">
      <alignment horizontal="center" vertical="center"/>
    </xf>
    <xf numFmtId="0" fontId="14" fillId="0" borderId="1" xfId="0" applyFont="true" applyBorder="true" applyAlignment="true">
      <alignment horizontal="center" vertical="center" wrapText="true"/>
    </xf>
    <xf numFmtId="0" fontId="14" fillId="0" borderId="1" xfId="0" applyFont="true" applyBorder="true" applyAlignment="true">
      <alignment horizontal="left" vertical="center" wrapText="true"/>
    </xf>
    <xf numFmtId="0" fontId="18" fillId="2" borderId="1" xfId="0" applyFont="true" applyFill="true" applyBorder="true" applyAlignment="true" applyProtection="true">
      <alignment horizontal="center" vertical="center" wrapText="true"/>
      <protection locked="false"/>
    </xf>
    <xf numFmtId="0" fontId="14" fillId="2" borderId="1" xfId="0" applyFont="true" applyFill="true" applyBorder="true" applyAlignment="true">
      <alignment horizontal="center" vertical="center" wrapText="true"/>
    </xf>
    <xf numFmtId="0" fontId="14" fillId="0" borderId="1" xfId="0" applyFont="true" applyFill="true" applyBorder="true" applyAlignment="true" applyProtection="true">
      <alignment horizontal="center" vertical="center" wrapText="true"/>
      <protection locked="false"/>
    </xf>
    <xf numFmtId="0" fontId="14" fillId="0" borderId="0" xfId="0" applyFont="true" applyFill="true" applyAlignment="true">
      <alignment horizontal="center" vertical="center" wrapText="true"/>
    </xf>
    <xf numFmtId="0" fontId="16" fillId="0" borderId="0" xfId="0" applyFont="true" applyFill="true" applyAlignment="true">
      <alignment horizontal="center" vertical="center" wrapText="true"/>
    </xf>
    <xf numFmtId="0" fontId="17" fillId="0" borderId="0" xfId="0" applyFont="true" applyFill="true" applyAlignment="true">
      <alignment horizontal="center" vertical="center" wrapText="true"/>
    </xf>
    <xf numFmtId="0" fontId="18" fillId="0" borderId="1" xfId="0" applyFont="true" applyFill="true" applyBorder="true" applyAlignment="true">
      <alignment horizontal="center" vertical="center" wrapText="true"/>
    </xf>
    <xf numFmtId="180" fontId="14" fillId="0" borderId="1" xfId="42" applyNumberFormat="true" applyFont="true" applyFill="true" applyBorder="true" applyAlignment="true">
      <alignment horizontal="center" vertical="center" wrapText="true"/>
    </xf>
    <xf numFmtId="0" fontId="14" fillId="2" borderId="1" xfId="0" applyFont="true" applyFill="true" applyBorder="true" applyAlignment="true">
      <alignment horizontal="center" vertical="center"/>
    </xf>
    <xf numFmtId="0" fontId="18" fillId="0" borderId="2" xfId="0" applyFont="true" applyFill="true" applyBorder="true" applyAlignment="true">
      <alignment horizontal="center" vertical="center" wrapText="true"/>
    </xf>
    <xf numFmtId="0" fontId="18" fillId="0" borderId="8" xfId="0" applyFont="true" applyFill="true" applyBorder="true" applyAlignment="true">
      <alignment horizontal="center" vertical="center" wrapText="true"/>
    </xf>
    <xf numFmtId="57" fontId="14" fillId="0" borderId="1" xfId="0" applyNumberFormat="true" applyFont="true" applyBorder="true" applyAlignment="true">
      <alignment horizontal="center" vertical="center" wrapText="true"/>
    </xf>
    <xf numFmtId="0" fontId="18" fillId="0" borderId="1" xfId="0" applyFont="true" applyFill="true" applyBorder="true" applyAlignment="true">
      <alignment horizontal="center" vertical="center"/>
    </xf>
    <xf numFmtId="57" fontId="14" fillId="0" borderId="1" xfId="0" applyNumberFormat="true" applyFont="true" applyFill="true" applyBorder="true" applyAlignment="true">
      <alignment horizontal="center" vertical="center"/>
    </xf>
    <xf numFmtId="49" fontId="14" fillId="0" borderId="1" xfId="0" applyNumberFormat="true" applyFont="true" applyFill="true" applyBorder="true" applyAlignment="true">
      <alignment horizontal="center" vertical="center"/>
    </xf>
    <xf numFmtId="177" fontId="14" fillId="0" borderId="1" xfId="0" applyNumberFormat="true" applyFont="true" applyFill="true" applyBorder="true" applyAlignment="true">
      <alignment horizontal="center" vertical="center"/>
    </xf>
    <xf numFmtId="0" fontId="14" fillId="0" borderId="1" xfId="0" applyNumberFormat="true" applyFont="true" applyFill="true" applyBorder="true" applyAlignment="true">
      <alignment horizontal="center" vertical="center"/>
    </xf>
    <xf numFmtId="0" fontId="14" fillId="0" borderId="1" xfId="35" applyFont="true" applyBorder="true" applyAlignment="true">
      <alignment horizontal="center" vertical="center"/>
    </xf>
    <xf numFmtId="0" fontId="14" fillId="0" borderId="1" xfId="35" applyFont="true" applyBorder="true" applyAlignment="true">
      <alignment horizontal="center" vertical="center" wrapText="true"/>
    </xf>
    <xf numFmtId="0" fontId="14" fillId="0" borderId="1" xfId="35" applyNumberFormat="true" applyFont="true" applyFill="true" applyBorder="true" applyAlignment="true">
      <alignment horizontal="left" vertical="center" wrapText="true"/>
    </xf>
    <xf numFmtId="0" fontId="14" fillId="2" borderId="1" xfId="35" applyFont="true" applyFill="true" applyBorder="true" applyAlignment="true">
      <alignment horizontal="center" vertical="center" wrapText="true"/>
    </xf>
    <xf numFmtId="0" fontId="14" fillId="0" borderId="1" xfId="35" applyNumberFormat="true" applyFont="true" applyFill="true" applyBorder="true" applyAlignment="true">
      <alignment horizontal="center" vertical="center" wrapText="true"/>
    </xf>
    <xf numFmtId="0" fontId="14" fillId="0" borderId="1" xfId="35" applyFont="true" applyFill="true" applyBorder="true" applyAlignment="true">
      <alignment horizontal="center" vertical="center" wrapText="true"/>
    </xf>
    <xf numFmtId="0" fontId="14" fillId="0" borderId="1" xfId="0" applyNumberFormat="true" applyFont="true" applyFill="true" applyBorder="true" applyAlignment="true">
      <alignment horizontal="left" vertical="center" wrapText="true"/>
    </xf>
    <xf numFmtId="0" fontId="14" fillId="2" borderId="1" xfId="48" applyFont="true" applyFill="true" applyBorder="true" applyAlignment="true">
      <alignment horizontal="center" vertical="center" wrapText="true"/>
    </xf>
    <xf numFmtId="0" fontId="14" fillId="0" borderId="1" xfId="48" applyFont="true" applyFill="true" applyBorder="true" applyAlignment="true">
      <alignment horizontal="center" vertical="center" wrapText="true"/>
    </xf>
    <xf numFmtId="0" fontId="14" fillId="0" borderId="1" xfId="48" applyFont="true" applyBorder="true" applyAlignment="true">
      <alignment horizontal="center" vertical="center"/>
    </xf>
    <xf numFmtId="0" fontId="14" fillId="0" borderId="1" xfId="48" applyFont="true" applyBorder="true" applyAlignment="true">
      <alignment horizontal="center" vertical="center" wrapText="true"/>
    </xf>
    <xf numFmtId="0" fontId="14" fillId="0" borderId="1" xfId="48" applyNumberFormat="true" applyFont="true" applyFill="true" applyBorder="true" applyAlignment="true">
      <alignment horizontal="left" vertical="center" wrapText="true"/>
    </xf>
    <xf numFmtId="0" fontId="14" fillId="0" borderId="1" xfId="35" applyFont="true" applyFill="true" applyBorder="true" applyAlignment="true">
      <alignment horizontal="center" vertical="center"/>
    </xf>
    <xf numFmtId="0" fontId="14" fillId="0" borderId="1" xfId="0" applyNumberFormat="true" applyFont="true" applyFill="true" applyBorder="true" applyAlignment="true">
      <alignment horizontal="center" vertical="center" wrapText="true"/>
    </xf>
    <xf numFmtId="0" fontId="14" fillId="0" borderId="1" xfId="48" applyFont="true" applyFill="true" applyBorder="true" applyAlignment="true">
      <alignment horizontal="center" vertical="center"/>
    </xf>
    <xf numFmtId="0" fontId="14" fillId="0" borderId="1" xfId="48" applyNumberFormat="true" applyFont="true" applyFill="true" applyBorder="true" applyAlignment="true">
      <alignment horizontal="center" vertical="center" wrapText="true"/>
    </xf>
    <xf numFmtId="179" fontId="14" fillId="0" borderId="1" xfId="0" applyNumberFormat="true" applyFont="true" applyFill="true" applyBorder="true" applyAlignment="true">
      <alignment horizontal="center" vertical="center"/>
    </xf>
    <xf numFmtId="179" fontId="14" fillId="0" borderId="1" xfId="35" applyNumberFormat="true" applyFont="true" applyFill="true" applyBorder="true" applyAlignment="true">
      <alignment horizontal="center" vertical="center"/>
    </xf>
    <xf numFmtId="179" fontId="14" fillId="0" borderId="1" xfId="48" applyNumberFormat="true" applyFont="true" applyFill="true" applyBorder="true" applyAlignment="true">
      <alignment horizontal="center" vertical="center"/>
    </xf>
    <xf numFmtId="179" fontId="14" fillId="0" borderId="1" xfId="48" applyNumberFormat="true" applyFont="true" applyBorder="true" applyAlignment="true">
      <alignment horizontal="center" vertical="center"/>
    </xf>
    <xf numFmtId="0" fontId="14" fillId="0" borderId="1" xfId="35" applyNumberFormat="true" applyFont="true" applyFill="true" applyBorder="true" applyAlignment="true">
      <alignment horizontal="center" vertical="center"/>
    </xf>
    <xf numFmtId="0" fontId="14" fillId="0" borderId="1" xfId="48" applyNumberFormat="true" applyFont="true" applyFill="true" applyBorder="true" applyAlignment="true">
      <alignment horizontal="center" vertical="center"/>
    </xf>
    <xf numFmtId="0" fontId="11" fillId="0" borderId="1" xfId="0" applyFont="true" applyBorder="true" applyAlignment="true">
      <alignment horizontal="center" vertical="center"/>
    </xf>
    <xf numFmtId="0" fontId="14" fillId="0" borderId="1" xfId="0" applyNumberFormat="true" applyFont="true" applyFill="true" applyBorder="true" applyAlignment="true" applyProtection="true">
      <alignment horizontal="center" vertical="center"/>
      <protection locked="false"/>
    </xf>
    <xf numFmtId="0" fontId="11" fillId="0" borderId="1" xfId="0" applyFont="true" applyFill="true" applyBorder="true" applyAlignment="true">
      <alignment horizontal="center" vertical="center" wrapText="true"/>
    </xf>
    <xf numFmtId="0" fontId="19" fillId="0" borderId="1" xfId="0" applyFont="true" applyFill="true" applyBorder="true" applyAlignment="true">
      <alignment horizontal="right" vertical="center" wrapText="true"/>
    </xf>
    <xf numFmtId="0" fontId="14" fillId="0" borderId="1" xfId="0" applyNumberFormat="true" applyFont="true" applyFill="true" applyBorder="true" applyAlignment="true" applyProtection="true">
      <alignment horizontal="center" vertical="center" wrapText="true"/>
      <protection locked="false"/>
    </xf>
    <xf numFmtId="0" fontId="19" fillId="0" borderId="1" xfId="0" applyNumberFormat="true" applyFont="true" applyFill="true" applyBorder="true" applyAlignment="true" applyProtection="true">
      <alignment horizontal="right" vertical="center" wrapText="true"/>
      <protection locked="false"/>
    </xf>
    <xf numFmtId="0" fontId="19" fillId="0" borderId="1" xfId="0" applyFont="true" applyBorder="true" applyAlignment="true">
      <alignment horizontal="right" vertical="center" wrapText="true"/>
    </xf>
    <xf numFmtId="0" fontId="19" fillId="0" borderId="1" xfId="0" applyFont="true" applyFill="true" applyBorder="true" applyAlignment="true">
      <alignment horizontal="right" vertical="center"/>
    </xf>
    <xf numFmtId="0" fontId="14" fillId="4" borderId="1" xfId="0" applyFont="true" applyFill="true" applyBorder="true" applyAlignment="true">
      <alignment horizontal="center" vertical="center" wrapText="true"/>
    </xf>
    <xf numFmtId="176" fontId="14" fillId="0" borderId="1" xfId="0" applyNumberFormat="true" applyFont="true" applyFill="true" applyBorder="true" applyAlignment="true">
      <alignment horizontal="center" vertical="center" wrapText="true"/>
    </xf>
    <xf numFmtId="180" fontId="14" fillId="0" borderId="1" xfId="0" applyNumberFormat="true" applyFont="true" applyFill="true" applyBorder="true" applyAlignment="true">
      <alignment horizontal="center" vertical="center"/>
    </xf>
    <xf numFmtId="0" fontId="14" fillId="0" borderId="1" xfId="0" applyNumberFormat="true" applyFont="true" applyBorder="true" applyAlignment="true">
      <alignment horizontal="center" vertical="center"/>
    </xf>
    <xf numFmtId="176" fontId="14" fillId="0" borderId="1" xfId="0" applyNumberFormat="true" applyFont="true" applyFill="true" applyBorder="true" applyAlignment="true">
      <alignment horizontal="center" vertical="center"/>
    </xf>
    <xf numFmtId="178" fontId="14" fillId="0" borderId="1" xfId="0" applyNumberFormat="true" applyFont="true" applyBorder="true" applyAlignment="true">
      <alignment horizontal="center" vertical="center"/>
    </xf>
    <xf numFmtId="178" fontId="14" fillId="0" borderId="1" xfId="0" applyNumberFormat="true" applyFont="true" applyFill="true" applyBorder="true" applyAlignment="true">
      <alignment horizontal="center" vertical="center"/>
    </xf>
    <xf numFmtId="177" fontId="18" fillId="0" borderId="1" xfId="0" applyNumberFormat="true" applyFont="true" applyFill="true" applyBorder="true" applyAlignment="true">
      <alignment horizontal="center" vertical="center"/>
    </xf>
    <xf numFmtId="181" fontId="18" fillId="0" borderId="1" xfId="0" applyNumberFormat="true" applyFont="true" applyFill="true" applyBorder="true" applyAlignment="true">
      <alignment horizontal="center" vertical="center"/>
    </xf>
    <xf numFmtId="181" fontId="14" fillId="0" borderId="1" xfId="0" applyNumberFormat="true" applyFont="true" applyFill="true" applyBorder="true" applyAlignment="true">
      <alignment horizontal="center" vertical="center"/>
    </xf>
    <xf numFmtId="181" fontId="14" fillId="5" borderId="1" xfId="0" applyNumberFormat="true" applyFont="true" applyFill="true" applyBorder="true" applyAlignment="true">
      <alignment horizontal="center" vertical="center"/>
    </xf>
    <xf numFmtId="0" fontId="14" fillId="0" borderId="1" xfId="0" applyNumberFormat="true" applyFont="true" applyBorder="true" applyAlignment="true">
      <alignment horizontal="center" vertical="center" wrapText="true"/>
    </xf>
    <xf numFmtId="57" fontId="14" fillId="0" borderId="1" xfId="0" applyNumberFormat="true" applyFont="true" applyBorder="true" applyAlignment="true">
      <alignment horizontal="center" vertical="center"/>
    </xf>
    <xf numFmtId="49" fontId="14" fillId="0" borderId="1" xfId="0" applyNumberFormat="true" applyFont="true" applyFill="true" applyBorder="true" applyAlignment="true">
      <alignment horizontal="center" vertical="center" wrapText="true"/>
    </xf>
    <xf numFmtId="49" fontId="14" fillId="0" borderId="1" xfId="0" applyNumberFormat="true" applyFont="true" applyFill="true" applyBorder="true" applyAlignment="true">
      <alignment horizontal="left" vertical="center" wrapText="true"/>
    </xf>
    <xf numFmtId="179" fontId="14" fillId="0" borderId="1" xfId="0" applyNumberFormat="true" applyFont="true" applyBorder="true" applyAlignment="true">
      <alignment horizontal="center" vertical="center"/>
    </xf>
    <xf numFmtId="0" fontId="1" fillId="0" borderId="0" xfId="0" applyFont="true">
      <alignment vertical="center"/>
    </xf>
    <xf numFmtId="0" fontId="20" fillId="0" borderId="0" xfId="0" applyFont="true">
      <alignment vertical="center"/>
    </xf>
    <xf numFmtId="0" fontId="2" fillId="0" borderId="0" xfId="0" applyFont="true" applyAlignment="true">
      <alignment horizontal="center" vertical="center"/>
    </xf>
    <xf numFmtId="0" fontId="7" fillId="0" borderId="2" xfId="0" applyFont="true" applyBorder="true" applyAlignment="true">
      <alignment horizontal="center" vertical="center"/>
    </xf>
    <xf numFmtId="0" fontId="7" fillId="0" borderId="2" xfId="0" applyFont="true" applyBorder="true" applyAlignment="true">
      <alignment horizontal="center" vertical="center" wrapText="true"/>
    </xf>
    <xf numFmtId="0" fontId="7" fillId="0" borderId="8" xfId="0" applyFont="true" applyBorder="true" applyAlignment="true">
      <alignment horizontal="center" vertical="center"/>
    </xf>
    <xf numFmtId="0" fontId="7" fillId="0" borderId="8" xfId="0" applyFont="true" applyBorder="true" applyAlignment="true">
      <alignment horizontal="center" vertical="center" wrapText="true"/>
    </xf>
    <xf numFmtId="176" fontId="8" fillId="0" borderId="1" xfId="0" applyNumberFormat="true" applyFont="true" applyBorder="true" applyAlignment="true">
      <alignment horizontal="right" vertical="center"/>
    </xf>
    <xf numFmtId="176" fontId="8" fillId="0" borderId="1" xfId="0" applyNumberFormat="true" applyFont="true" applyFill="true" applyBorder="true" applyAlignment="true">
      <alignment horizontal="right" vertical="center"/>
    </xf>
    <xf numFmtId="176" fontId="21" fillId="0" borderId="1" xfId="0" applyNumberFormat="true" applyFont="true" applyBorder="true" applyAlignment="true">
      <alignment horizontal="right" vertical="center"/>
    </xf>
    <xf numFmtId="0" fontId="8" fillId="0" borderId="0" xfId="0" applyFont="true" applyBorder="true" applyAlignment="true">
      <alignment horizontal="left" vertical="center" wrapText="true"/>
    </xf>
    <xf numFmtId="0" fontId="7" fillId="0" borderId="10" xfId="0" applyFont="true" applyBorder="true" applyAlignment="true">
      <alignment horizontal="center" vertical="center" wrapText="true"/>
    </xf>
    <xf numFmtId="0" fontId="7" fillId="0" borderId="12" xfId="0" applyFont="true" applyBorder="true" applyAlignment="true">
      <alignment horizontal="center" vertical="center" wrapText="true"/>
    </xf>
    <xf numFmtId="0" fontId="7" fillId="0" borderId="11" xfId="0" applyFont="true" applyBorder="true" applyAlignment="true">
      <alignment horizontal="center" vertical="center" wrapText="true"/>
    </xf>
  </cellXfs>
  <cellStyles count="52">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常规 3" xfId="35"/>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常规_2019年教育建设项目资金申报表2019.02.28" xfId="42"/>
    <cellStyle name="适中" xfId="43" builtinId="28"/>
    <cellStyle name="20% - 强调文字颜色 1" xfId="44" builtinId="30"/>
    <cellStyle name="差" xfId="45" builtinId="27"/>
    <cellStyle name="强调文字颜色 2" xfId="46" builtinId="33"/>
    <cellStyle name="40% - 强调文字颜色 1" xfId="47" builtinId="31"/>
    <cellStyle name="常规 2" xfId="48"/>
    <cellStyle name="60% - 强调文字颜色 2" xfId="49" builtinId="36"/>
    <cellStyle name="40% - 强调文字颜色 2" xfId="50" builtinId="35"/>
    <cellStyle name="强调文字颜色 3" xfId="51" builtinId="37"/>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mp/D:/WeChat Files/wxid_rffram9e2qiu21/FileStorage/File/2022-03/2022&#24180;&#20840;&#30465;&#20844;&#21150;&#22253;&#39033;&#30446;&#23457;&#26680;&#36164;&#37329;&#27979;&#31639;&#34920;(20220311)&#26080;&#21439;&#24046;&#21435;&#30465;&#31435;(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mp/D:/1.&#39033;&#30446;&#21150;&#26448;&#26009;/&#20844;&#21150;&#24188;&#20799;&#22253;/2019-2021&#24180;&#23398;&#21069;&#25945;&#32946;&#20998;&#35774;&#21306;&#24066;&#24773;&#209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汇总简表"/>
      <sheetName val="审核汇总表"/>
      <sheetName val="补助标准"/>
      <sheetName val="资金测算表"/>
      <sheetName val="厦门+省属"/>
      <sheetName val="Sheet1"/>
    </sheetNames>
    <sheetDataSet>
      <sheetData sheetId="0" refreshError="1"/>
      <sheetData sheetId="1" refreshError="1"/>
      <sheetData sheetId="2" refreshError="1">
        <row r="2">
          <cell r="B2" t="str">
            <v>县（市、区）</v>
          </cell>
          <cell r="C2" t="str">
            <v>类别1</v>
          </cell>
          <cell r="D2" t="str">
            <v>财政特别困难县</v>
          </cell>
          <cell r="E2" t="str">
            <v>苏区</v>
          </cell>
          <cell r="F2" t="str">
            <v>23县</v>
          </cell>
          <cell r="G2" t="str">
            <v>新建补助标准（万元/m2)</v>
          </cell>
        </row>
        <row r="2">
          <cell r="I2" t="str">
            <v>改建补助标准（万元/m2)</v>
          </cell>
          <cell r="J2" t="str">
            <v>扩建补助标准（万元/m2)</v>
          </cell>
          <cell r="K2" t="str">
            <v>小区配建补助标准（万元/m2)</v>
          </cell>
          <cell r="L2" t="str">
            <v>扶持补助标准（万元/m2)</v>
          </cell>
        </row>
        <row r="3">
          <cell r="G3" t="str">
            <v>2018年以前</v>
          </cell>
          <cell r="H3">
            <v>2022</v>
          </cell>
          <cell r="I3">
            <v>0.45</v>
          </cell>
          <cell r="J3">
            <v>0.6</v>
          </cell>
          <cell r="K3">
            <v>0.4</v>
          </cell>
          <cell r="L3">
            <v>0.4</v>
          </cell>
        </row>
        <row r="4">
          <cell r="B4" t="str">
            <v>台江区</v>
          </cell>
          <cell r="C4" t="str">
            <v>三类县</v>
          </cell>
        </row>
        <row r="4">
          <cell r="G4">
            <v>1.1</v>
          </cell>
          <cell r="H4">
            <v>0.1946</v>
          </cell>
          <cell r="I4">
            <v>0.08757</v>
          </cell>
          <cell r="J4">
            <v>0.11676</v>
          </cell>
          <cell r="K4">
            <v>0.07784</v>
          </cell>
          <cell r="L4">
            <v>0.07784</v>
          </cell>
        </row>
        <row r="5">
          <cell r="B5" t="str">
            <v>鼓楼区</v>
          </cell>
          <cell r="C5" t="str">
            <v>三类县</v>
          </cell>
        </row>
        <row r="5">
          <cell r="G5">
            <v>1.1</v>
          </cell>
          <cell r="H5">
            <v>0.1946</v>
          </cell>
          <cell r="I5">
            <v>0.08757</v>
          </cell>
          <cell r="J5">
            <v>0.11676</v>
          </cell>
          <cell r="K5">
            <v>0.07784</v>
          </cell>
          <cell r="L5">
            <v>0.07784</v>
          </cell>
        </row>
        <row r="6">
          <cell r="B6" t="str">
            <v>仓山区</v>
          </cell>
          <cell r="C6" t="str">
            <v>三类县</v>
          </cell>
        </row>
        <row r="6">
          <cell r="G6">
            <v>1.1</v>
          </cell>
          <cell r="H6">
            <v>0.1946</v>
          </cell>
          <cell r="I6">
            <v>0.08757</v>
          </cell>
          <cell r="J6">
            <v>0.11676</v>
          </cell>
          <cell r="K6">
            <v>0.07784</v>
          </cell>
          <cell r="L6">
            <v>0.07784</v>
          </cell>
        </row>
        <row r="7">
          <cell r="B7" t="str">
            <v>马尾区</v>
          </cell>
          <cell r="C7" t="str">
            <v>三类县</v>
          </cell>
        </row>
        <row r="7">
          <cell r="G7">
            <v>1.1</v>
          </cell>
          <cell r="H7">
            <v>0.1946</v>
          </cell>
          <cell r="I7">
            <v>0.08757</v>
          </cell>
          <cell r="J7">
            <v>0.11676</v>
          </cell>
          <cell r="K7">
            <v>0.07784</v>
          </cell>
          <cell r="L7">
            <v>0.07784</v>
          </cell>
        </row>
        <row r="8">
          <cell r="B8" t="str">
            <v>琅岐区</v>
          </cell>
          <cell r="C8" t="str">
            <v>二类县</v>
          </cell>
        </row>
        <row r="8">
          <cell r="G8">
            <v>1.3</v>
          </cell>
          <cell r="H8">
            <v>0.1946</v>
          </cell>
          <cell r="I8">
            <v>0.08757</v>
          </cell>
          <cell r="J8">
            <v>0.11676</v>
          </cell>
          <cell r="K8">
            <v>0.07784</v>
          </cell>
          <cell r="L8">
            <v>0.07784</v>
          </cell>
        </row>
        <row r="9">
          <cell r="B9" t="str">
            <v>晋安区</v>
          </cell>
          <cell r="C9" t="str">
            <v>三类县</v>
          </cell>
        </row>
        <row r="9">
          <cell r="G9">
            <v>1.1</v>
          </cell>
          <cell r="H9">
            <v>0.1946</v>
          </cell>
          <cell r="I9">
            <v>0.08757</v>
          </cell>
          <cell r="J9">
            <v>0.11676</v>
          </cell>
          <cell r="K9">
            <v>0.07784</v>
          </cell>
          <cell r="L9">
            <v>0.07784</v>
          </cell>
        </row>
        <row r="10">
          <cell r="B10" t="str">
            <v>福清市</v>
          </cell>
          <cell r="C10" t="str">
            <v>二类县</v>
          </cell>
        </row>
        <row r="10">
          <cell r="G10">
            <v>1.3</v>
          </cell>
          <cell r="H10">
            <v>0.1946</v>
          </cell>
          <cell r="I10">
            <v>0.08757</v>
          </cell>
          <cell r="J10">
            <v>0.11676</v>
          </cell>
          <cell r="K10">
            <v>0.07784</v>
          </cell>
          <cell r="L10">
            <v>0.07784</v>
          </cell>
        </row>
        <row r="11">
          <cell r="B11" t="str">
            <v>连江县</v>
          </cell>
          <cell r="C11" t="str">
            <v>二类县</v>
          </cell>
        </row>
        <row r="11">
          <cell r="G11">
            <v>1.3</v>
          </cell>
          <cell r="H11">
            <v>0.1946</v>
          </cell>
          <cell r="I11">
            <v>0.08757</v>
          </cell>
          <cell r="J11">
            <v>0.11676</v>
          </cell>
          <cell r="K11">
            <v>0.07784</v>
          </cell>
          <cell r="L11">
            <v>0.07784</v>
          </cell>
        </row>
        <row r="12">
          <cell r="B12" t="str">
            <v>罗源县</v>
          </cell>
          <cell r="C12" t="str">
            <v>二类县</v>
          </cell>
        </row>
        <row r="12">
          <cell r="G12">
            <v>1.3</v>
          </cell>
          <cell r="H12">
            <v>0.1946</v>
          </cell>
          <cell r="I12">
            <v>0.08757</v>
          </cell>
          <cell r="J12">
            <v>0.11676</v>
          </cell>
          <cell r="K12">
            <v>0.07784</v>
          </cell>
          <cell r="L12">
            <v>0.07784</v>
          </cell>
        </row>
        <row r="13">
          <cell r="B13" t="str">
            <v>闽侯县</v>
          </cell>
          <cell r="C13" t="str">
            <v>二类县</v>
          </cell>
        </row>
        <row r="13">
          <cell r="G13">
            <v>1.3</v>
          </cell>
          <cell r="H13">
            <v>0.1946</v>
          </cell>
          <cell r="I13">
            <v>0.08757</v>
          </cell>
          <cell r="J13">
            <v>0.11676</v>
          </cell>
          <cell r="K13">
            <v>0.07784</v>
          </cell>
          <cell r="L13">
            <v>0.07784</v>
          </cell>
        </row>
        <row r="14">
          <cell r="B14" t="str">
            <v>福州高新区</v>
          </cell>
          <cell r="C14" t="str">
            <v>二类县</v>
          </cell>
        </row>
        <row r="14">
          <cell r="G14">
            <v>1.3</v>
          </cell>
          <cell r="H14">
            <v>0.1946</v>
          </cell>
          <cell r="I14">
            <v>0.08757</v>
          </cell>
          <cell r="J14">
            <v>0.11676</v>
          </cell>
          <cell r="K14">
            <v>0.07784</v>
          </cell>
          <cell r="L14">
            <v>0.07784</v>
          </cell>
        </row>
        <row r="15">
          <cell r="B15" t="str">
            <v>长乐区</v>
          </cell>
          <cell r="C15" t="str">
            <v>二类县</v>
          </cell>
        </row>
        <row r="15">
          <cell r="G15">
            <v>1.3</v>
          </cell>
          <cell r="H15">
            <v>0.1946</v>
          </cell>
          <cell r="I15">
            <v>0.08757</v>
          </cell>
          <cell r="J15">
            <v>0.11676</v>
          </cell>
          <cell r="K15">
            <v>0.07784</v>
          </cell>
          <cell r="L15">
            <v>0.07784</v>
          </cell>
        </row>
        <row r="16">
          <cell r="B16" t="str">
            <v>永泰县</v>
          </cell>
          <cell r="C16" t="str">
            <v>一类县</v>
          </cell>
        </row>
        <row r="16">
          <cell r="E16">
            <v>1</v>
          </cell>
          <cell r="F16">
            <v>1</v>
          </cell>
          <cell r="G16">
            <v>1.5</v>
          </cell>
          <cell r="H16">
            <v>0.1946</v>
          </cell>
          <cell r="I16">
            <v>0.08757</v>
          </cell>
          <cell r="J16">
            <v>0.11676</v>
          </cell>
          <cell r="K16">
            <v>0.07784</v>
          </cell>
          <cell r="L16">
            <v>0.07784</v>
          </cell>
        </row>
        <row r="17">
          <cell r="B17" t="str">
            <v>闽清县</v>
          </cell>
          <cell r="C17" t="str">
            <v>一类县</v>
          </cell>
        </row>
        <row r="17">
          <cell r="G17">
            <v>1.5</v>
          </cell>
          <cell r="H17">
            <v>0.1946</v>
          </cell>
          <cell r="I17">
            <v>0.08757</v>
          </cell>
          <cell r="J17">
            <v>0.11676</v>
          </cell>
          <cell r="K17">
            <v>0.07784</v>
          </cell>
          <cell r="L17">
            <v>0.07784</v>
          </cell>
        </row>
        <row r="18">
          <cell r="B18" t="str">
            <v>平潭综合实验区</v>
          </cell>
          <cell r="C18" t="str">
            <v>一类县</v>
          </cell>
        </row>
        <row r="18">
          <cell r="G18">
            <v>1.5</v>
          </cell>
          <cell r="H18">
            <v>0.1946</v>
          </cell>
          <cell r="I18">
            <v>0.08757</v>
          </cell>
          <cell r="J18">
            <v>0.11676</v>
          </cell>
          <cell r="K18">
            <v>0.07784</v>
          </cell>
          <cell r="L18">
            <v>0.07784</v>
          </cell>
        </row>
        <row r="19">
          <cell r="B19" t="str">
            <v>永定区</v>
          </cell>
          <cell r="C19" t="str">
            <v>一类县</v>
          </cell>
        </row>
        <row r="19">
          <cell r="E19">
            <v>1</v>
          </cell>
        </row>
        <row r="19">
          <cell r="G19">
            <v>1.5</v>
          </cell>
          <cell r="H19">
            <v>0.1946</v>
          </cell>
          <cell r="I19">
            <v>0.08757</v>
          </cell>
          <cell r="J19">
            <v>0.11676</v>
          </cell>
          <cell r="K19">
            <v>0.07784</v>
          </cell>
          <cell r="L19">
            <v>0.07784</v>
          </cell>
        </row>
        <row r="20">
          <cell r="B20" t="str">
            <v>上杭县</v>
          </cell>
          <cell r="C20" t="str">
            <v>一类县</v>
          </cell>
        </row>
        <row r="20">
          <cell r="E20">
            <v>1</v>
          </cell>
        </row>
        <row r="20">
          <cell r="G20">
            <v>1.5</v>
          </cell>
          <cell r="H20">
            <v>0.1946</v>
          </cell>
          <cell r="I20">
            <v>0.08757</v>
          </cell>
          <cell r="J20">
            <v>0.11676</v>
          </cell>
          <cell r="K20">
            <v>0.07784</v>
          </cell>
          <cell r="L20">
            <v>0.07784</v>
          </cell>
        </row>
        <row r="21">
          <cell r="B21" t="str">
            <v>新罗区</v>
          </cell>
          <cell r="C21" t="str">
            <v>二类县</v>
          </cell>
        </row>
        <row r="21">
          <cell r="E21">
            <v>1</v>
          </cell>
        </row>
        <row r="21">
          <cell r="G21">
            <v>1.3</v>
          </cell>
          <cell r="H21">
            <v>0.1946</v>
          </cell>
          <cell r="I21">
            <v>0.08757</v>
          </cell>
          <cell r="J21">
            <v>0.11676</v>
          </cell>
          <cell r="K21">
            <v>0.07784</v>
          </cell>
          <cell r="L21">
            <v>0.07784</v>
          </cell>
        </row>
        <row r="22">
          <cell r="B22" t="str">
            <v>长汀县</v>
          </cell>
          <cell r="C22" t="str">
            <v>一类县</v>
          </cell>
        </row>
        <row r="22">
          <cell r="E22">
            <v>1</v>
          </cell>
          <cell r="F22">
            <v>1</v>
          </cell>
          <cell r="G22">
            <v>1.5</v>
          </cell>
          <cell r="H22">
            <v>0.1946</v>
          </cell>
          <cell r="I22">
            <v>0.08757</v>
          </cell>
          <cell r="J22">
            <v>0.11676</v>
          </cell>
          <cell r="K22">
            <v>0.07784</v>
          </cell>
          <cell r="L22">
            <v>0.07784</v>
          </cell>
        </row>
        <row r="23">
          <cell r="B23" t="str">
            <v>武平县</v>
          </cell>
          <cell r="C23" t="str">
            <v>一类县</v>
          </cell>
        </row>
        <row r="23">
          <cell r="E23">
            <v>1</v>
          </cell>
          <cell r="F23">
            <v>1</v>
          </cell>
          <cell r="G23">
            <v>1.5</v>
          </cell>
          <cell r="H23">
            <v>0.1946</v>
          </cell>
          <cell r="I23">
            <v>0.08757</v>
          </cell>
          <cell r="J23">
            <v>0.11676</v>
          </cell>
          <cell r="K23">
            <v>0.07784</v>
          </cell>
          <cell r="L23">
            <v>0.07784</v>
          </cell>
        </row>
        <row r="24">
          <cell r="B24" t="str">
            <v>漳平市</v>
          </cell>
          <cell r="C24" t="str">
            <v>一类县</v>
          </cell>
        </row>
        <row r="24">
          <cell r="E24">
            <v>1</v>
          </cell>
        </row>
        <row r="24">
          <cell r="G24">
            <v>1.5</v>
          </cell>
          <cell r="H24">
            <v>0.1946</v>
          </cell>
          <cell r="I24">
            <v>0.08757</v>
          </cell>
          <cell r="J24">
            <v>0.11676</v>
          </cell>
          <cell r="K24">
            <v>0.07784</v>
          </cell>
          <cell r="L24">
            <v>0.07784</v>
          </cell>
        </row>
        <row r="25">
          <cell r="B25" t="str">
            <v>连城县</v>
          </cell>
          <cell r="C25" t="str">
            <v>一类县</v>
          </cell>
        </row>
        <row r="25">
          <cell r="E25">
            <v>1</v>
          </cell>
          <cell r="F25">
            <v>1</v>
          </cell>
          <cell r="G25">
            <v>1.5</v>
          </cell>
          <cell r="H25">
            <v>0.1946</v>
          </cell>
          <cell r="I25">
            <v>0.08757</v>
          </cell>
          <cell r="J25">
            <v>0.11676</v>
          </cell>
          <cell r="K25">
            <v>0.07784</v>
          </cell>
          <cell r="L25">
            <v>0.07784</v>
          </cell>
        </row>
        <row r="26">
          <cell r="B26" t="str">
            <v>延平区</v>
          </cell>
          <cell r="C26" t="str">
            <v>一类县</v>
          </cell>
          <cell r="D26">
            <v>1</v>
          </cell>
        </row>
        <row r="26">
          <cell r="G26">
            <v>1.5</v>
          </cell>
          <cell r="H26">
            <v>0.1946</v>
          </cell>
          <cell r="I26">
            <v>0.08757</v>
          </cell>
          <cell r="J26">
            <v>0.11676</v>
          </cell>
          <cell r="K26">
            <v>0.07784</v>
          </cell>
          <cell r="L26">
            <v>0.07784</v>
          </cell>
        </row>
        <row r="27">
          <cell r="B27" t="str">
            <v>邵武市</v>
          </cell>
          <cell r="C27" t="str">
            <v>一类县</v>
          </cell>
        </row>
        <row r="27">
          <cell r="E27">
            <v>1</v>
          </cell>
        </row>
        <row r="27">
          <cell r="G27">
            <v>1.5</v>
          </cell>
          <cell r="H27">
            <v>0.1946</v>
          </cell>
          <cell r="I27">
            <v>0.08757</v>
          </cell>
          <cell r="J27">
            <v>0.11676</v>
          </cell>
          <cell r="K27">
            <v>0.07784</v>
          </cell>
          <cell r="L27">
            <v>0.07784</v>
          </cell>
        </row>
        <row r="28">
          <cell r="B28" t="str">
            <v>武夷山市</v>
          </cell>
          <cell r="C28" t="str">
            <v>一类县</v>
          </cell>
        </row>
        <row r="28">
          <cell r="E28">
            <v>1</v>
          </cell>
        </row>
        <row r="28">
          <cell r="G28">
            <v>1.5</v>
          </cell>
          <cell r="H28">
            <v>0.1946</v>
          </cell>
          <cell r="I28">
            <v>0.08757</v>
          </cell>
          <cell r="J28">
            <v>0.11676</v>
          </cell>
          <cell r="K28">
            <v>0.07784</v>
          </cell>
          <cell r="L28">
            <v>0.07784</v>
          </cell>
        </row>
        <row r="29">
          <cell r="B29" t="str">
            <v>建阳区</v>
          </cell>
          <cell r="C29" t="str">
            <v>一类县</v>
          </cell>
        </row>
        <row r="29">
          <cell r="E29">
            <v>1</v>
          </cell>
        </row>
        <row r="29">
          <cell r="G29">
            <v>1.5</v>
          </cell>
          <cell r="H29">
            <v>0.1946</v>
          </cell>
          <cell r="I29">
            <v>0.08757</v>
          </cell>
          <cell r="J29">
            <v>0.11676</v>
          </cell>
          <cell r="K29">
            <v>0.07784</v>
          </cell>
          <cell r="L29">
            <v>0.07784</v>
          </cell>
        </row>
        <row r="30">
          <cell r="B30" t="str">
            <v>顺昌县</v>
          </cell>
          <cell r="C30" t="str">
            <v>一类县</v>
          </cell>
          <cell r="D30">
            <v>1</v>
          </cell>
          <cell r="E30">
            <v>1</v>
          </cell>
          <cell r="F30">
            <v>1</v>
          </cell>
          <cell r="G30">
            <v>1.5</v>
          </cell>
          <cell r="H30">
            <v>0.1946</v>
          </cell>
          <cell r="I30">
            <v>0.08757</v>
          </cell>
          <cell r="J30">
            <v>0.11676</v>
          </cell>
          <cell r="K30">
            <v>0.07784</v>
          </cell>
          <cell r="L30">
            <v>0.07784</v>
          </cell>
        </row>
        <row r="31">
          <cell r="B31" t="str">
            <v>浦城县</v>
          </cell>
          <cell r="C31" t="str">
            <v>一类县</v>
          </cell>
        </row>
        <row r="31">
          <cell r="E31">
            <v>1</v>
          </cell>
          <cell r="F31">
            <v>1</v>
          </cell>
          <cell r="G31">
            <v>1.5</v>
          </cell>
          <cell r="H31">
            <v>0.1946</v>
          </cell>
          <cell r="I31">
            <v>0.08757</v>
          </cell>
          <cell r="J31">
            <v>0.11676</v>
          </cell>
          <cell r="K31">
            <v>0.07784</v>
          </cell>
          <cell r="L31">
            <v>0.07784</v>
          </cell>
        </row>
        <row r="32">
          <cell r="B32" t="str">
            <v>光泽县</v>
          </cell>
          <cell r="C32" t="str">
            <v>一类县</v>
          </cell>
        </row>
        <row r="32">
          <cell r="E32">
            <v>1</v>
          </cell>
          <cell r="F32">
            <v>1</v>
          </cell>
          <cell r="G32">
            <v>1.5</v>
          </cell>
          <cell r="H32">
            <v>0.1946</v>
          </cell>
          <cell r="I32">
            <v>0.08757</v>
          </cell>
          <cell r="J32">
            <v>0.11676</v>
          </cell>
          <cell r="K32">
            <v>0.07784</v>
          </cell>
          <cell r="L32">
            <v>0.07784</v>
          </cell>
        </row>
        <row r="33">
          <cell r="B33" t="str">
            <v>松溪县</v>
          </cell>
          <cell r="C33" t="str">
            <v>一类县</v>
          </cell>
          <cell r="D33">
            <v>1</v>
          </cell>
          <cell r="E33">
            <v>1</v>
          </cell>
          <cell r="F33">
            <v>1</v>
          </cell>
          <cell r="G33">
            <v>1.5</v>
          </cell>
          <cell r="H33">
            <v>0.1946</v>
          </cell>
          <cell r="I33">
            <v>0.08757</v>
          </cell>
          <cell r="J33">
            <v>0.11676</v>
          </cell>
          <cell r="K33">
            <v>0.07784</v>
          </cell>
          <cell r="L33">
            <v>0.07784</v>
          </cell>
        </row>
        <row r="34">
          <cell r="B34" t="str">
            <v>政和县</v>
          </cell>
          <cell r="C34" t="str">
            <v>一类县</v>
          </cell>
          <cell r="D34">
            <v>1</v>
          </cell>
          <cell r="E34">
            <v>1</v>
          </cell>
          <cell r="F34">
            <v>1</v>
          </cell>
          <cell r="G34">
            <v>1.5</v>
          </cell>
          <cell r="H34">
            <v>0.1946</v>
          </cell>
          <cell r="I34">
            <v>0.08757</v>
          </cell>
          <cell r="J34">
            <v>0.11676</v>
          </cell>
          <cell r="K34">
            <v>0.07784</v>
          </cell>
          <cell r="L34">
            <v>0.07784</v>
          </cell>
        </row>
        <row r="35">
          <cell r="B35" t="str">
            <v>建瓯市</v>
          </cell>
          <cell r="C35" t="str">
            <v>一类县</v>
          </cell>
        </row>
        <row r="35">
          <cell r="G35">
            <v>1.5</v>
          </cell>
          <cell r="H35">
            <v>0.1946</v>
          </cell>
          <cell r="I35">
            <v>0.08757</v>
          </cell>
          <cell r="J35">
            <v>0.11676</v>
          </cell>
          <cell r="K35">
            <v>0.07784</v>
          </cell>
          <cell r="L35">
            <v>0.07784</v>
          </cell>
        </row>
        <row r="36">
          <cell r="B36" t="str">
            <v>霞浦县</v>
          </cell>
          <cell r="C36" t="str">
            <v>一类县</v>
          </cell>
          <cell r="D36">
            <v>1</v>
          </cell>
          <cell r="E36">
            <v>1</v>
          </cell>
          <cell r="F36">
            <v>1</v>
          </cell>
          <cell r="G36">
            <v>1.5</v>
          </cell>
          <cell r="H36">
            <v>0.1946</v>
          </cell>
          <cell r="I36">
            <v>0.08757</v>
          </cell>
          <cell r="J36">
            <v>0.11676</v>
          </cell>
          <cell r="K36">
            <v>0.07784</v>
          </cell>
          <cell r="L36">
            <v>0.07784</v>
          </cell>
        </row>
        <row r="37">
          <cell r="B37" t="str">
            <v>古田县</v>
          </cell>
          <cell r="C37" t="str">
            <v>一类县</v>
          </cell>
          <cell r="D37">
            <v>1</v>
          </cell>
          <cell r="E37">
            <v>1</v>
          </cell>
          <cell r="F37">
            <v>1</v>
          </cell>
          <cell r="G37">
            <v>1.5</v>
          </cell>
          <cell r="H37">
            <v>0.1946</v>
          </cell>
          <cell r="I37">
            <v>0.08757</v>
          </cell>
          <cell r="J37">
            <v>0.11676</v>
          </cell>
          <cell r="K37">
            <v>0.07784</v>
          </cell>
          <cell r="L37">
            <v>0.07784</v>
          </cell>
        </row>
        <row r="38">
          <cell r="B38" t="str">
            <v>屏南县</v>
          </cell>
          <cell r="C38" t="str">
            <v>一类县</v>
          </cell>
          <cell r="D38">
            <v>1</v>
          </cell>
          <cell r="E38">
            <v>1</v>
          </cell>
          <cell r="F38">
            <v>1</v>
          </cell>
          <cell r="G38">
            <v>1.5</v>
          </cell>
          <cell r="H38">
            <v>0.1946</v>
          </cell>
          <cell r="I38">
            <v>0.08757</v>
          </cell>
          <cell r="J38">
            <v>0.11676</v>
          </cell>
          <cell r="K38">
            <v>0.07784</v>
          </cell>
          <cell r="L38">
            <v>0.07784</v>
          </cell>
        </row>
        <row r="39">
          <cell r="B39" t="str">
            <v>寿宁县</v>
          </cell>
          <cell r="C39" t="str">
            <v>一类县</v>
          </cell>
          <cell r="D39">
            <v>1</v>
          </cell>
          <cell r="E39">
            <v>1</v>
          </cell>
          <cell r="F39">
            <v>1</v>
          </cell>
          <cell r="G39">
            <v>1.5</v>
          </cell>
          <cell r="H39">
            <v>0.1946</v>
          </cell>
          <cell r="I39">
            <v>0.08757</v>
          </cell>
          <cell r="J39">
            <v>0.11676</v>
          </cell>
          <cell r="K39">
            <v>0.07784</v>
          </cell>
          <cell r="L39">
            <v>0.07784</v>
          </cell>
        </row>
        <row r="40">
          <cell r="B40" t="str">
            <v>周宁县</v>
          </cell>
          <cell r="C40" t="str">
            <v>一类县</v>
          </cell>
          <cell r="D40">
            <v>1</v>
          </cell>
          <cell r="E40">
            <v>1</v>
          </cell>
          <cell r="F40">
            <v>1</v>
          </cell>
          <cell r="G40">
            <v>1.5</v>
          </cell>
          <cell r="H40">
            <v>0.1946</v>
          </cell>
          <cell r="I40">
            <v>0.08757</v>
          </cell>
          <cell r="J40">
            <v>0.11676</v>
          </cell>
          <cell r="K40">
            <v>0.07784</v>
          </cell>
          <cell r="L40">
            <v>0.07784</v>
          </cell>
        </row>
        <row r="41">
          <cell r="B41" t="str">
            <v>柘荣县</v>
          </cell>
          <cell r="C41" t="str">
            <v>一类县</v>
          </cell>
          <cell r="D41">
            <v>1</v>
          </cell>
          <cell r="E41">
            <v>1</v>
          </cell>
          <cell r="F41">
            <v>1</v>
          </cell>
          <cell r="G41">
            <v>1.5</v>
          </cell>
          <cell r="H41">
            <v>0.1946</v>
          </cell>
          <cell r="I41">
            <v>0.08757</v>
          </cell>
          <cell r="J41">
            <v>0.11676</v>
          </cell>
          <cell r="K41">
            <v>0.07784</v>
          </cell>
          <cell r="L41">
            <v>0.07784</v>
          </cell>
        </row>
        <row r="42">
          <cell r="B42" t="str">
            <v>蕉城区</v>
          </cell>
          <cell r="C42" t="str">
            <v>一类县</v>
          </cell>
        </row>
        <row r="42">
          <cell r="G42">
            <v>1.5</v>
          </cell>
          <cell r="H42">
            <v>0.1946</v>
          </cell>
          <cell r="I42">
            <v>0.08757</v>
          </cell>
          <cell r="J42">
            <v>0.11676</v>
          </cell>
          <cell r="K42">
            <v>0.07784</v>
          </cell>
          <cell r="L42">
            <v>0.07784</v>
          </cell>
        </row>
        <row r="43">
          <cell r="B43" t="str">
            <v>福鼎市</v>
          </cell>
          <cell r="C43" t="str">
            <v>一类县</v>
          </cell>
        </row>
        <row r="43">
          <cell r="G43">
            <v>1.5</v>
          </cell>
          <cell r="H43">
            <v>0.1946</v>
          </cell>
          <cell r="I43">
            <v>0.08757</v>
          </cell>
          <cell r="J43">
            <v>0.11676</v>
          </cell>
          <cell r="K43">
            <v>0.07784</v>
          </cell>
          <cell r="L43">
            <v>0.07784</v>
          </cell>
        </row>
        <row r="44">
          <cell r="B44" t="str">
            <v>福安市</v>
          </cell>
          <cell r="C44" t="str">
            <v>一类县</v>
          </cell>
        </row>
        <row r="44">
          <cell r="G44">
            <v>1.5</v>
          </cell>
          <cell r="H44">
            <v>0.1946</v>
          </cell>
          <cell r="I44">
            <v>0.08757</v>
          </cell>
          <cell r="J44">
            <v>0.11676</v>
          </cell>
          <cell r="K44">
            <v>0.07784</v>
          </cell>
          <cell r="L44">
            <v>0.07784</v>
          </cell>
        </row>
        <row r="45">
          <cell r="B45" t="str">
            <v>城厢区</v>
          </cell>
          <cell r="C45" t="str">
            <v>二类县</v>
          </cell>
        </row>
        <row r="45">
          <cell r="G45">
            <v>1.3</v>
          </cell>
          <cell r="H45">
            <v>0.1946</v>
          </cell>
          <cell r="I45">
            <v>0.08757</v>
          </cell>
          <cell r="J45">
            <v>0.11676</v>
          </cell>
          <cell r="K45">
            <v>0.07784</v>
          </cell>
          <cell r="L45">
            <v>0.07784</v>
          </cell>
        </row>
        <row r="46">
          <cell r="B46" t="str">
            <v>涵江区</v>
          </cell>
          <cell r="C46" t="str">
            <v>二类县</v>
          </cell>
        </row>
        <row r="46">
          <cell r="G46">
            <v>1.3</v>
          </cell>
          <cell r="H46">
            <v>0.1946</v>
          </cell>
          <cell r="I46">
            <v>0.08757</v>
          </cell>
          <cell r="J46">
            <v>0.11676</v>
          </cell>
          <cell r="K46">
            <v>0.07784</v>
          </cell>
          <cell r="L46">
            <v>0.07784</v>
          </cell>
        </row>
        <row r="47">
          <cell r="B47" t="str">
            <v>湄洲岛</v>
          </cell>
          <cell r="C47" t="str">
            <v>二类县</v>
          </cell>
        </row>
        <row r="47">
          <cell r="G47">
            <v>1.3</v>
          </cell>
          <cell r="H47">
            <v>0.1946</v>
          </cell>
          <cell r="I47">
            <v>0.08757</v>
          </cell>
          <cell r="J47">
            <v>0.11676</v>
          </cell>
          <cell r="K47">
            <v>0.07784</v>
          </cell>
          <cell r="L47">
            <v>0.07784</v>
          </cell>
        </row>
        <row r="48">
          <cell r="B48" t="str">
            <v>仙游县</v>
          </cell>
          <cell r="C48" t="str">
            <v>一类县</v>
          </cell>
        </row>
        <row r="48">
          <cell r="G48">
            <v>1.5</v>
          </cell>
          <cell r="H48">
            <v>0.1946</v>
          </cell>
          <cell r="I48">
            <v>0.08757</v>
          </cell>
          <cell r="J48">
            <v>0.11676</v>
          </cell>
          <cell r="K48">
            <v>0.07784</v>
          </cell>
          <cell r="L48">
            <v>0.07784</v>
          </cell>
        </row>
        <row r="49">
          <cell r="B49" t="str">
            <v>荔城区</v>
          </cell>
          <cell r="C49" t="str">
            <v>二类县</v>
          </cell>
        </row>
        <row r="49">
          <cell r="G49">
            <v>1.3</v>
          </cell>
          <cell r="H49">
            <v>0.1946</v>
          </cell>
          <cell r="I49">
            <v>0.08757</v>
          </cell>
          <cell r="J49">
            <v>0.11676</v>
          </cell>
          <cell r="K49">
            <v>0.07784</v>
          </cell>
          <cell r="L49">
            <v>0.07784</v>
          </cell>
        </row>
        <row r="50">
          <cell r="B50" t="str">
            <v>秀屿区</v>
          </cell>
          <cell r="C50" t="str">
            <v>二类县</v>
          </cell>
        </row>
        <row r="50">
          <cell r="G50">
            <v>1.3</v>
          </cell>
          <cell r="H50">
            <v>0.1946</v>
          </cell>
          <cell r="I50">
            <v>0.08757</v>
          </cell>
          <cell r="J50">
            <v>0.11676</v>
          </cell>
          <cell r="K50">
            <v>0.07784</v>
          </cell>
          <cell r="L50">
            <v>0.07784</v>
          </cell>
        </row>
        <row r="51">
          <cell r="B51" t="str">
            <v>湄洲湾北岸管委会</v>
          </cell>
          <cell r="C51" t="str">
            <v>二类县</v>
          </cell>
        </row>
        <row r="51">
          <cell r="G51">
            <v>1.3</v>
          </cell>
          <cell r="H51">
            <v>0.1946</v>
          </cell>
          <cell r="I51">
            <v>0.08757</v>
          </cell>
          <cell r="J51">
            <v>0.11676</v>
          </cell>
          <cell r="K51">
            <v>0.07784</v>
          </cell>
          <cell r="L51">
            <v>0.07784</v>
          </cell>
        </row>
        <row r="52">
          <cell r="B52" t="str">
            <v>鲤城区</v>
          </cell>
          <cell r="C52" t="str">
            <v>三类县</v>
          </cell>
        </row>
        <row r="52">
          <cell r="G52">
            <v>1.1</v>
          </cell>
          <cell r="H52">
            <v>0.1946</v>
          </cell>
          <cell r="I52">
            <v>0.08757</v>
          </cell>
          <cell r="J52">
            <v>0.11676</v>
          </cell>
          <cell r="K52">
            <v>0.07784</v>
          </cell>
          <cell r="L52">
            <v>0.07784</v>
          </cell>
        </row>
        <row r="53">
          <cell r="B53" t="str">
            <v>丰泽区</v>
          </cell>
          <cell r="C53" t="str">
            <v>三类县</v>
          </cell>
        </row>
        <row r="53">
          <cell r="G53">
            <v>1.1</v>
          </cell>
          <cell r="H53">
            <v>0.1946</v>
          </cell>
          <cell r="I53">
            <v>0.08757</v>
          </cell>
          <cell r="J53">
            <v>0.11676</v>
          </cell>
          <cell r="K53">
            <v>0.07784</v>
          </cell>
          <cell r="L53">
            <v>0.07784</v>
          </cell>
        </row>
        <row r="54">
          <cell r="B54" t="str">
            <v>洛江区</v>
          </cell>
          <cell r="C54" t="str">
            <v>三类县</v>
          </cell>
        </row>
        <row r="54">
          <cell r="G54">
            <v>1.1</v>
          </cell>
          <cell r="H54">
            <v>0.1946</v>
          </cell>
          <cell r="I54">
            <v>0.08757</v>
          </cell>
          <cell r="J54">
            <v>0.11676</v>
          </cell>
          <cell r="K54">
            <v>0.07784</v>
          </cell>
          <cell r="L54">
            <v>0.07784</v>
          </cell>
        </row>
        <row r="55">
          <cell r="B55" t="str">
            <v>泉港区</v>
          </cell>
          <cell r="C55" t="str">
            <v>三类县</v>
          </cell>
        </row>
        <row r="55">
          <cell r="G55">
            <v>1.1</v>
          </cell>
          <cell r="H55">
            <v>0.1946</v>
          </cell>
          <cell r="I55">
            <v>0.08757</v>
          </cell>
          <cell r="J55">
            <v>0.11676</v>
          </cell>
          <cell r="K55">
            <v>0.07784</v>
          </cell>
          <cell r="L55">
            <v>0.07784</v>
          </cell>
        </row>
        <row r="56">
          <cell r="B56" t="str">
            <v>石狮市</v>
          </cell>
          <cell r="C56" t="str">
            <v>三类县</v>
          </cell>
        </row>
        <row r="56">
          <cell r="G56">
            <v>1.1</v>
          </cell>
          <cell r="H56">
            <v>0.1946</v>
          </cell>
          <cell r="I56">
            <v>0.08757</v>
          </cell>
          <cell r="J56">
            <v>0.11676</v>
          </cell>
          <cell r="K56">
            <v>0.07784</v>
          </cell>
          <cell r="L56">
            <v>0.07784</v>
          </cell>
        </row>
        <row r="57">
          <cell r="B57" t="str">
            <v>晋江市</v>
          </cell>
          <cell r="C57" t="str">
            <v>三类县</v>
          </cell>
        </row>
        <row r="57">
          <cell r="G57">
            <v>1.1</v>
          </cell>
          <cell r="H57">
            <v>0.1946</v>
          </cell>
          <cell r="I57">
            <v>0.08757</v>
          </cell>
          <cell r="J57">
            <v>0.11676</v>
          </cell>
          <cell r="K57">
            <v>0.07784</v>
          </cell>
          <cell r="L57">
            <v>0.07784</v>
          </cell>
        </row>
        <row r="58">
          <cell r="B58" t="str">
            <v>惠安县</v>
          </cell>
          <cell r="C58" t="str">
            <v>二类县</v>
          </cell>
        </row>
        <row r="58">
          <cell r="G58">
            <v>1.3</v>
          </cell>
          <cell r="H58">
            <v>0.1946</v>
          </cell>
          <cell r="I58">
            <v>0.08757</v>
          </cell>
          <cell r="J58">
            <v>0.11676</v>
          </cell>
          <cell r="K58">
            <v>0.07784</v>
          </cell>
          <cell r="L58">
            <v>0.07784</v>
          </cell>
        </row>
        <row r="59">
          <cell r="B59" t="str">
            <v>安溪县</v>
          </cell>
          <cell r="C59" t="str">
            <v>一类县</v>
          </cell>
        </row>
        <row r="59">
          <cell r="G59">
            <v>1.5</v>
          </cell>
          <cell r="H59">
            <v>0.1946</v>
          </cell>
          <cell r="I59">
            <v>0.08757</v>
          </cell>
          <cell r="J59">
            <v>0.11676</v>
          </cell>
          <cell r="K59">
            <v>0.07784</v>
          </cell>
          <cell r="L59">
            <v>0.07784</v>
          </cell>
        </row>
        <row r="60">
          <cell r="B60" t="str">
            <v>永春县</v>
          </cell>
          <cell r="C60" t="str">
            <v>一类县</v>
          </cell>
        </row>
        <row r="60">
          <cell r="G60">
            <v>1.5</v>
          </cell>
          <cell r="H60">
            <v>0.1946</v>
          </cell>
          <cell r="I60">
            <v>0.08757</v>
          </cell>
          <cell r="J60">
            <v>0.11676</v>
          </cell>
          <cell r="K60">
            <v>0.07784</v>
          </cell>
          <cell r="L60">
            <v>0.07784</v>
          </cell>
        </row>
        <row r="61">
          <cell r="B61" t="str">
            <v>德化县</v>
          </cell>
          <cell r="C61" t="str">
            <v>一类县</v>
          </cell>
        </row>
        <row r="61">
          <cell r="G61">
            <v>1.5</v>
          </cell>
          <cell r="H61">
            <v>0.1946</v>
          </cell>
          <cell r="I61">
            <v>0.08757</v>
          </cell>
          <cell r="J61">
            <v>0.11676</v>
          </cell>
          <cell r="K61">
            <v>0.07784</v>
          </cell>
          <cell r="L61">
            <v>0.07784</v>
          </cell>
        </row>
        <row r="62">
          <cell r="B62" t="str">
            <v>南安市</v>
          </cell>
          <cell r="C62" t="str">
            <v>二类县</v>
          </cell>
        </row>
        <row r="62">
          <cell r="G62">
            <v>1.3</v>
          </cell>
          <cell r="H62">
            <v>0.1946</v>
          </cell>
          <cell r="I62">
            <v>0.08757</v>
          </cell>
          <cell r="J62">
            <v>0.11676</v>
          </cell>
          <cell r="K62">
            <v>0.07784</v>
          </cell>
          <cell r="L62">
            <v>0.07784</v>
          </cell>
        </row>
        <row r="63">
          <cell r="B63" t="str">
            <v>梅列区</v>
          </cell>
          <cell r="C63" t="str">
            <v>二类县</v>
          </cell>
        </row>
        <row r="63">
          <cell r="G63">
            <v>1.3</v>
          </cell>
          <cell r="H63">
            <v>0.1946</v>
          </cell>
          <cell r="I63">
            <v>0.08757</v>
          </cell>
          <cell r="J63">
            <v>0.11676</v>
          </cell>
          <cell r="K63">
            <v>0.07784</v>
          </cell>
          <cell r="L63">
            <v>0.07784</v>
          </cell>
        </row>
        <row r="64">
          <cell r="B64" t="str">
            <v>三元区</v>
          </cell>
          <cell r="C64" t="str">
            <v>一类县</v>
          </cell>
        </row>
        <row r="64">
          <cell r="G64">
            <v>1.5</v>
          </cell>
          <cell r="H64">
            <v>0.1946</v>
          </cell>
          <cell r="I64">
            <v>0.08757</v>
          </cell>
          <cell r="J64">
            <v>0.11676</v>
          </cell>
          <cell r="K64">
            <v>0.07784</v>
          </cell>
          <cell r="L64">
            <v>0.07784</v>
          </cell>
        </row>
        <row r="65">
          <cell r="B65" t="str">
            <v>永安市</v>
          </cell>
          <cell r="C65" t="str">
            <v>二类县</v>
          </cell>
        </row>
        <row r="65">
          <cell r="G65">
            <v>1.3</v>
          </cell>
          <cell r="H65">
            <v>0.1946</v>
          </cell>
          <cell r="I65">
            <v>0.08757</v>
          </cell>
          <cell r="J65">
            <v>0.11676</v>
          </cell>
          <cell r="K65">
            <v>0.07784</v>
          </cell>
          <cell r="L65">
            <v>0.07784</v>
          </cell>
        </row>
        <row r="66">
          <cell r="B66" t="str">
            <v>宁化县</v>
          </cell>
          <cell r="C66" t="str">
            <v>一类县</v>
          </cell>
        </row>
        <row r="66">
          <cell r="E66">
            <v>1</v>
          </cell>
          <cell r="F66">
            <v>1</v>
          </cell>
          <cell r="G66">
            <v>1.5</v>
          </cell>
          <cell r="H66">
            <v>0.1946</v>
          </cell>
          <cell r="I66">
            <v>0.08757</v>
          </cell>
          <cell r="J66">
            <v>0.11676</v>
          </cell>
          <cell r="K66">
            <v>0.07784</v>
          </cell>
          <cell r="L66">
            <v>0.07784</v>
          </cell>
        </row>
        <row r="67">
          <cell r="B67" t="str">
            <v>清流县</v>
          </cell>
          <cell r="C67" t="str">
            <v>一类县</v>
          </cell>
        </row>
        <row r="67">
          <cell r="E67">
            <v>1</v>
          </cell>
          <cell r="F67">
            <v>1</v>
          </cell>
          <cell r="G67">
            <v>1.5</v>
          </cell>
          <cell r="H67">
            <v>0.1946</v>
          </cell>
          <cell r="I67">
            <v>0.08757</v>
          </cell>
          <cell r="J67">
            <v>0.11676</v>
          </cell>
          <cell r="K67">
            <v>0.07784</v>
          </cell>
          <cell r="L67">
            <v>0.07784</v>
          </cell>
        </row>
        <row r="68">
          <cell r="B68" t="str">
            <v>明溪县</v>
          </cell>
          <cell r="C68" t="str">
            <v>一类县</v>
          </cell>
        </row>
        <row r="68">
          <cell r="E68">
            <v>1</v>
          </cell>
          <cell r="F68">
            <v>1</v>
          </cell>
          <cell r="G68">
            <v>1.5</v>
          </cell>
          <cell r="H68">
            <v>0.1946</v>
          </cell>
          <cell r="I68">
            <v>0.08757</v>
          </cell>
          <cell r="J68">
            <v>0.11676</v>
          </cell>
          <cell r="K68">
            <v>0.07784</v>
          </cell>
          <cell r="L68">
            <v>0.07784</v>
          </cell>
        </row>
        <row r="69">
          <cell r="B69" t="str">
            <v>将乐县</v>
          </cell>
          <cell r="C69" t="str">
            <v>一类县</v>
          </cell>
        </row>
        <row r="69">
          <cell r="E69">
            <v>1</v>
          </cell>
        </row>
        <row r="69">
          <cell r="G69">
            <v>1.5</v>
          </cell>
          <cell r="H69">
            <v>0.1946</v>
          </cell>
          <cell r="I69">
            <v>0.08757</v>
          </cell>
          <cell r="J69">
            <v>0.11676</v>
          </cell>
          <cell r="K69">
            <v>0.07784</v>
          </cell>
          <cell r="L69">
            <v>0.07784</v>
          </cell>
        </row>
        <row r="70">
          <cell r="B70" t="str">
            <v>泰宁县</v>
          </cell>
          <cell r="C70" t="str">
            <v>一类县</v>
          </cell>
        </row>
        <row r="70">
          <cell r="E70">
            <v>1</v>
          </cell>
          <cell r="F70">
            <v>1</v>
          </cell>
          <cell r="G70">
            <v>1.5</v>
          </cell>
          <cell r="H70">
            <v>0.1946</v>
          </cell>
          <cell r="I70">
            <v>0.08757</v>
          </cell>
          <cell r="J70">
            <v>0.11676</v>
          </cell>
          <cell r="K70">
            <v>0.07784</v>
          </cell>
          <cell r="L70">
            <v>0.07784</v>
          </cell>
        </row>
        <row r="71">
          <cell r="B71" t="str">
            <v>建宁县</v>
          </cell>
          <cell r="C71" t="str">
            <v>一类县</v>
          </cell>
        </row>
        <row r="71">
          <cell r="E71">
            <v>1</v>
          </cell>
          <cell r="F71">
            <v>1</v>
          </cell>
          <cell r="G71">
            <v>1.5</v>
          </cell>
          <cell r="H71">
            <v>0.1946</v>
          </cell>
          <cell r="I71">
            <v>0.08757</v>
          </cell>
          <cell r="J71">
            <v>0.11676</v>
          </cell>
          <cell r="K71">
            <v>0.07784</v>
          </cell>
          <cell r="L71">
            <v>0.07784</v>
          </cell>
        </row>
        <row r="72">
          <cell r="B72" t="str">
            <v>沙县区</v>
          </cell>
          <cell r="C72" t="str">
            <v>一类县</v>
          </cell>
        </row>
        <row r="72">
          <cell r="E72">
            <v>1</v>
          </cell>
        </row>
        <row r="72">
          <cell r="G72">
            <v>1.5</v>
          </cell>
          <cell r="H72">
            <v>0.1946</v>
          </cell>
          <cell r="I72">
            <v>0.08757</v>
          </cell>
          <cell r="J72">
            <v>0.11676</v>
          </cell>
          <cell r="K72">
            <v>0.07784</v>
          </cell>
          <cell r="L72">
            <v>0.07784</v>
          </cell>
        </row>
        <row r="73">
          <cell r="B73" t="str">
            <v>大田县</v>
          </cell>
          <cell r="C73" t="str">
            <v>一类县</v>
          </cell>
        </row>
        <row r="73">
          <cell r="G73">
            <v>1.5</v>
          </cell>
          <cell r="H73">
            <v>0.1946</v>
          </cell>
          <cell r="I73">
            <v>0.08757</v>
          </cell>
          <cell r="J73">
            <v>0.11676</v>
          </cell>
          <cell r="K73">
            <v>0.07784</v>
          </cell>
          <cell r="L73">
            <v>0.07784</v>
          </cell>
        </row>
        <row r="74">
          <cell r="B74" t="str">
            <v>尤溪县</v>
          </cell>
          <cell r="C74" t="str">
            <v>一类县</v>
          </cell>
        </row>
        <row r="74">
          <cell r="G74">
            <v>1.5</v>
          </cell>
          <cell r="H74">
            <v>0.1946</v>
          </cell>
          <cell r="I74">
            <v>0.08757</v>
          </cell>
          <cell r="J74">
            <v>0.11676</v>
          </cell>
          <cell r="K74">
            <v>0.07784</v>
          </cell>
          <cell r="L74">
            <v>0.07784</v>
          </cell>
        </row>
        <row r="75">
          <cell r="B75" t="str">
            <v>龙海市</v>
          </cell>
          <cell r="C75" t="str">
            <v>二类县</v>
          </cell>
        </row>
        <row r="75">
          <cell r="G75">
            <v>1.3</v>
          </cell>
          <cell r="H75">
            <v>0.1946</v>
          </cell>
          <cell r="I75">
            <v>0.08757</v>
          </cell>
          <cell r="J75">
            <v>0.11676</v>
          </cell>
          <cell r="K75">
            <v>0.07784</v>
          </cell>
          <cell r="L75">
            <v>0.07784</v>
          </cell>
        </row>
        <row r="76">
          <cell r="B76" t="str">
            <v>长泰区</v>
          </cell>
          <cell r="C76" t="str">
            <v>二类县</v>
          </cell>
        </row>
        <row r="76">
          <cell r="G76">
            <v>1.3</v>
          </cell>
          <cell r="H76">
            <v>0.1946</v>
          </cell>
          <cell r="I76">
            <v>0.08757</v>
          </cell>
          <cell r="J76">
            <v>0.11676</v>
          </cell>
          <cell r="K76">
            <v>0.07784</v>
          </cell>
          <cell r="L76">
            <v>0.07784</v>
          </cell>
        </row>
        <row r="77">
          <cell r="B77" t="str">
            <v>芗城区</v>
          </cell>
          <cell r="C77" t="str">
            <v>二类县</v>
          </cell>
        </row>
        <row r="77">
          <cell r="G77">
            <v>1.3</v>
          </cell>
          <cell r="H77">
            <v>0.1946</v>
          </cell>
          <cell r="I77">
            <v>0.08757</v>
          </cell>
          <cell r="J77">
            <v>0.11676</v>
          </cell>
          <cell r="K77">
            <v>0.07784</v>
          </cell>
          <cell r="L77">
            <v>0.07784</v>
          </cell>
        </row>
        <row r="78">
          <cell r="B78" t="str">
            <v>龙文区</v>
          </cell>
          <cell r="C78" t="str">
            <v>二类县</v>
          </cell>
        </row>
        <row r="78">
          <cell r="G78">
            <v>1.3</v>
          </cell>
          <cell r="H78">
            <v>0.1946</v>
          </cell>
          <cell r="I78">
            <v>0.08757</v>
          </cell>
          <cell r="J78">
            <v>0.11676</v>
          </cell>
          <cell r="K78">
            <v>0.07784</v>
          </cell>
          <cell r="L78">
            <v>0.07784</v>
          </cell>
        </row>
        <row r="79">
          <cell r="B79" t="str">
            <v>漳州开发区</v>
          </cell>
          <cell r="C79" t="str">
            <v>一类县</v>
          </cell>
        </row>
        <row r="79">
          <cell r="G79">
            <v>1.5</v>
          </cell>
          <cell r="H79">
            <v>0.1946</v>
          </cell>
          <cell r="I79">
            <v>0.08757</v>
          </cell>
          <cell r="J79">
            <v>0.11676</v>
          </cell>
          <cell r="K79">
            <v>0.07784</v>
          </cell>
          <cell r="L79">
            <v>0.07784</v>
          </cell>
        </row>
        <row r="80">
          <cell r="B80" t="str">
            <v>云霄县</v>
          </cell>
          <cell r="C80" t="str">
            <v>一类县</v>
          </cell>
        </row>
        <row r="80">
          <cell r="E80">
            <v>1</v>
          </cell>
          <cell r="F80">
            <v>1</v>
          </cell>
          <cell r="G80">
            <v>1.5</v>
          </cell>
          <cell r="H80">
            <v>0.1946</v>
          </cell>
          <cell r="I80">
            <v>0.08757</v>
          </cell>
          <cell r="J80">
            <v>0.11676</v>
          </cell>
          <cell r="K80">
            <v>0.07784</v>
          </cell>
          <cell r="L80">
            <v>0.07784</v>
          </cell>
        </row>
        <row r="81">
          <cell r="B81" t="str">
            <v>诏安县</v>
          </cell>
          <cell r="C81" t="str">
            <v>一类县</v>
          </cell>
        </row>
        <row r="81">
          <cell r="E81">
            <v>1</v>
          </cell>
          <cell r="F81">
            <v>1</v>
          </cell>
          <cell r="G81">
            <v>1.5</v>
          </cell>
          <cell r="H81">
            <v>0.1946</v>
          </cell>
          <cell r="I81">
            <v>0.08757</v>
          </cell>
          <cell r="J81">
            <v>0.11676</v>
          </cell>
          <cell r="K81">
            <v>0.07784</v>
          </cell>
          <cell r="L81">
            <v>0.07784</v>
          </cell>
        </row>
        <row r="82">
          <cell r="B82" t="str">
            <v>南靖县</v>
          </cell>
          <cell r="C82" t="str">
            <v>一类县</v>
          </cell>
        </row>
        <row r="82">
          <cell r="E82">
            <v>1</v>
          </cell>
        </row>
        <row r="82">
          <cell r="G82">
            <v>1.5</v>
          </cell>
          <cell r="H82">
            <v>0.1946</v>
          </cell>
          <cell r="I82">
            <v>0.08757</v>
          </cell>
          <cell r="J82">
            <v>0.11676</v>
          </cell>
          <cell r="K82">
            <v>0.07784</v>
          </cell>
          <cell r="L82">
            <v>0.07784</v>
          </cell>
        </row>
        <row r="83">
          <cell r="B83" t="str">
            <v>平和县</v>
          </cell>
          <cell r="C83" t="str">
            <v>一类县</v>
          </cell>
        </row>
        <row r="83">
          <cell r="E83">
            <v>1</v>
          </cell>
          <cell r="F83">
            <v>1</v>
          </cell>
          <cell r="G83">
            <v>1.5</v>
          </cell>
          <cell r="H83">
            <v>0.1946</v>
          </cell>
          <cell r="I83">
            <v>0.08757</v>
          </cell>
          <cell r="J83">
            <v>0.11676</v>
          </cell>
          <cell r="K83">
            <v>0.07784</v>
          </cell>
          <cell r="L83">
            <v>0.07784</v>
          </cell>
        </row>
        <row r="84">
          <cell r="B84" t="str">
            <v>漳浦县</v>
          </cell>
          <cell r="C84" t="str">
            <v>一类县</v>
          </cell>
        </row>
        <row r="84">
          <cell r="G84">
            <v>1.5</v>
          </cell>
          <cell r="H84">
            <v>0.1946</v>
          </cell>
          <cell r="I84">
            <v>0.08757</v>
          </cell>
          <cell r="J84">
            <v>0.11676</v>
          </cell>
          <cell r="K84">
            <v>0.07784</v>
          </cell>
          <cell r="L84">
            <v>0.07784</v>
          </cell>
        </row>
        <row r="85">
          <cell r="B85" t="str">
            <v>东山县</v>
          </cell>
          <cell r="C85" t="str">
            <v>一类县</v>
          </cell>
        </row>
        <row r="85">
          <cell r="G85">
            <v>1.5</v>
          </cell>
          <cell r="H85">
            <v>0.1946</v>
          </cell>
          <cell r="I85">
            <v>0.08757</v>
          </cell>
          <cell r="J85">
            <v>0.11676</v>
          </cell>
          <cell r="K85">
            <v>0.07784</v>
          </cell>
          <cell r="L85">
            <v>0.07784</v>
          </cell>
        </row>
        <row r="86">
          <cell r="B86" t="str">
            <v>华安县</v>
          </cell>
          <cell r="C86" t="str">
            <v>一类县</v>
          </cell>
        </row>
        <row r="86">
          <cell r="G86">
            <v>1.5</v>
          </cell>
          <cell r="H86">
            <v>0.1946</v>
          </cell>
          <cell r="I86">
            <v>0.08757</v>
          </cell>
          <cell r="J86">
            <v>0.11676</v>
          </cell>
          <cell r="K86">
            <v>0.07784</v>
          </cell>
          <cell r="L86">
            <v>0.07784</v>
          </cell>
        </row>
        <row r="87">
          <cell r="B87" t="str">
            <v>泉州台商投资区</v>
          </cell>
          <cell r="C87" t="str">
            <v>二类县</v>
          </cell>
        </row>
        <row r="87">
          <cell r="G87">
            <v>1.3</v>
          </cell>
          <cell r="H87">
            <v>0.1946</v>
          </cell>
          <cell r="I87">
            <v>0.08757</v>
          </cell>
          <cell r="J87">
            <v>0.11676</v>
          </cell>
          <cell r="K87">
            <v>0.07784</v>
          </cell>
          <cell r="L87">
            <v>0.07784</v>
          </cell>
        </row>
        <row r="88">
          <cell r="B88" t="str">
            <v>东侨经济技术开发区</v>
          </cell>
          <cell r="C88" t="str">
            <v>二类县</v>
          </cell>
        </row>
        <row r="88">
          <cell r="G88">
            <v>1.5</v>
          </cell>
          <cell r="H88">
            <v>0.1946</v>
          </cell>
          <cell r="I88">
            <v>0.08757</v>
          </cell>
          <cell r="J88">
            <v>0.11676</v>
          </cell>
          <cell r="K88">
            <v>0.07784</v>
          </cell>
          <cell r="L88">
            <v>0.07784</v>
          </cell>
        </row>
        <row r="89">
          <cell r="B89" t="str">
            <v>漳州招商局开发区</v>
          </cell>
          <cell r="C89" t="str">
            <v>二类县</v>
          </cell>
        </row>
        <row r="89">
          <cell r="G89">
            <v>1.3</v>
          </cell>
          <cell r="H89">
            <v>0.1946</v>
          </cell>
          <cell r="I89">
            <v>0.08757</v>
          </cell>
          <cell r="J89">
            <v>0.11676</v>
          </cell>
          <cell r="K89">
            <v>0.07784</v>
          </cell>
          <cell r="L89">
            <v>0.07784</v>
          </cell>
        </row>
        <row r="90">
          <cell r="B90" t="str">
            <v>漳州台商投资区</v>
          </cell>
          <cell r="C90" t="str">
            <v>二类县</v>
          </cell>
        </row>
        <row r="90">
          <cell r="G90">
            <v>1.3</v>
          </cell>
          <cell r="H90">
            <v>0.1946</v>
          </cell>
          <cell r="I90">
            <v>0.08757</v>
          </cell>
          <cell r="J90">
            <v>0.11676</v>
          </cell>
          <cell r="K90">
            <v>0.07784</v>
          </cell>
          <cell r="L90">
            <v>0.07784</v>
          </cell>
        </row>
        <row r="91">
          <cell r="B91" t="str">
            <v>宁德市本级</v>
          </cell>
          <cell r="C91" t="str">
            <v>二类县</v>
          </cell>
        </row>
        <row r="91">
          <cell r="G91">
            <v>1.3</v>
          </cell>
          <cell r="H91">
            <v>0.1946</v>
          </cell>
          <cell r="I91">
            <v>0.08757</v>
          </cell>
          <cell r="J91">
            <v>0.11676</v>
          </cell>
          <cell r="K91">
            <v>0.07784</v>
          </cell>
          <cell r="L91">
            <v>0.07784</v>
          </cell>
        </row>
        <row r="92">
          <cell r="B92" t="str">
            <v>南平市本级</v>
          </cell>
          <cell r="C92" t="str">
            <v>二类县</v>
          </cell>
        </row>
        <row r="92">
          <cell r="G92">
            <v>1.3</v>
          </cell>
          <cell r="H92">
            <v>0.1946</v>
          </cell>
          <cell r="I92">
            <v>0.08757</v>
          </cell>
          <cell r="J92">
            <v>0.11676</v>
          </cell>
          <cell r="K92">
            <v>0.07784</v>
          </cell>
          <cell r="L92">
            <v>0.07784</v>
          </cell>
        </row>
        <row r="93">
          <cell r="B93" t="str">
            <v>三明市本级</v>
          </cell>
          <cell r="C93" t="str">
            <v>二类县</v>
          </cell>
        </row>
        <row r="93">
          <cell r="G93">
            <v>1.3</v>
          </cell>
          <cell r="H93">
            <v>0.1946</v>
          </cell>
          <cell r="I93">
            <v>0.08757</v>
          </cell>
          <cell r="J93">
            <v>0.11676</v>
          </cell>
          <cell r="K93">
            <v>0.07784</v>
          </cell>
          <cell r="L93">
            <v>0.07784</v>
          </cell>
        </row>
        <row r="94">
          <cell r="B94" t="str">
            <v>莆田市本级</v>
          </cell>
          <cell r="C94" t="str">
            <v>二类县</v>
          </cell>
        </row>
        <row r="94">
          <cell r="G94">
            <v>1.3</v>
          </cell>
          <cell r="H94">
            <v>0.1946</v>
          </cell>
          <cell r="I94">
            <v>0.08757</v>
          </cell>
          <cell r="J94">
            <v>0.11676</v>
          </cell>
          <cell r="K94">
            <v>0.07784</v>
          </cell>
          <cell r="L94">
            <v>0.07784</v>
          </cell>
        </row>
        <row r="95">
          <cell r="B95" t="str">
            <v>漳州市本级</v>
          </cell>
          <cell r="C95" t="str">
            <v>二类县</v>
          </cell>
        </row>
        <row r="95">
          <cell r="G95">
            <v>1.3</v>
          </cell>
          <cell r="H95">
            <v>0.1946</v>
          </cell>
          <cell r="I95">
            <v>0.08757</v>
          </cell>
          <cell r="J95">
            <v>0.11676</v>
          </cell>
          <cell r="K95">
            <v>0.07784</v>
          </cell>
          <cell r="L95">
            <v>0.07784</v>
          </cell>
        </row>
        <row r="96">
          <cell r="B96" t="str">
            <v>福州市本级</v>
          </cell>
          <cell r="C96" t="str">
            <v>三类县</v>
          </cell>
        </row>
        <row r="96">
          <cell r="G96">
            <v>1.1</v>
          </cell>
          <cell r="H96">
            <v>0.1946</v>
          </cell>
          <cell r="I96">
            <v>0.08757</v>
          </cell>
          <cell r="J96">
            <v>0.11676</v>
          </cell>
          <cell r="K96">
            <v>0.07784</v>
          </cell>
          <cell r="L96">
            <v>0.07784</v>
          </cell>
        </row>
        <row r="97">
          <cell r="B97" t="str">
            <v>泉州市本级</v>
          </cell>
          <cell r="C97" t="str">
            <v>三类县</v>
          </cell>
        </row>
        <row r="97">
          <cell r="G97">
            <v>1.1</v>
          </cell>
          <cell r="H97">
            <v>0.1946</v>
          </cell>
          <cell r="I97">
            <v>0.08757</v>
          </cell>
          <cell r="J97">
            <v>0.11676</v>
          </cell>
          <cell r="K97">
            <v>0.07784</v>
          </cell>
          <cell r="L97">
            <v>0.07784</v>
          </cell>
        </row>
        <row r="98">
          <cell r="B98" t="str">
            <v>泉州经济开发区</v>
          </cell>
          <cell r="C98" t="str">
            <v>三类县</v>
          </cell>
        </row>
        <row r="98">
          <cell r="G98">
            <v>1.1</v>
          </cell>
          <cell r="H98">
            <v>0.1946</v>
          </cell>
          <cell r="I98">
            <v>0.08757</v>
          </cell>
          <cell r="J98">
            <v>0.11676</v>
          </cell>
          <cell r="K98">
            <v>0.07784</v>
          </cell>
          <cell r="L98">
            <v>0.07784</v>
          </cell>
        </row>
        <row r="99">
          <cell r="B99" t="str">
            <v>龙岩市本级</v>
          </cell>
          <cell r="C99" t="str">
            <v>二类县</v>
          </cell>
        </row>
        <row r="99">
          <cell r="G99">
            <v>1.3</v>
          </cell>
          <cell r="H99">
            <v>0.1946</v>
          </cell>
          <cell r="I99">
            <v>0.08757</v>
          </cell>
          <cell r="J99">
            <v>0.11676</v>
          </cell>
          <cell r="K99">
            <v>0.07784</v>
          </cell>
          <cell r="L99">
            <v>0.07784</v>
          </cell>
        </row>
        <row r="100">
          <cell r="B100" t="str">
            <v>龙岩经济开发区</v>
          </cell>
          <cell r="C100" t="str">
            <v>二类县</v>
          </cell>
        </row>
        <row r="100">
          <cell r="G100">
            <v>1.3</v>
          </cell>
          <cell r="H100">
            <v>0.1946</v>
          </cell>
          <cell r="I100">
            <v>0.08757</v>
          </cell>
          <cell r="J100">
            <v>0.11676</v>
          </cell>
          <cell r="K100">
            <v>0.07784</v>
          </cell>
          <cell r="L100">
            <v>0.07784</v>
          </cell>
        </row>
        <row r="101">
          <cell r="B101" t="str">
            <v>漳州高新区</v>
          </cell>
          <cell r="C101" t="str">
            <v>二类县</v>
          </cell>
        </row>
        <row r="101">
          <cell r="G101">
            <v>1.3</v>
          </cell>
          <cell r="H101">
            <v>0.1946</v>
          </cell>
          <cell r="I101">
            <v>0.08757</v>
          </cell>
          <cell r="J101">
            <v>0.11676</v>
          </cell>
          <cell r="K101">
            <v>0.07784</v>
          </cell>
          <cell r="L101">
            <v>0.07784</v>
          </cell>
        </row>
      </sheetData>
      <sheetData sheetId="3" refreshError="1"/>
      <sheetData sheetId="4" refreshError="1">
        <row r="11">
          <cell r="C11">
            <v>18</v>
          </cell>
        </row>
        <row r="11">
          <cell r="K11">
            <v>99651</v>
          </cell>
        </row>
        <row r="11">
          <cell r="P11">
            <v>7020</v>
          </cell>
          <cell r="Q11">
            <v>51994</v>
          </cell>
          <cell r="R11">
            <v>0</v>
          </cell>
        </row>
      </sheetData>
      <sheetData sheetId="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row r="1">
          <cell r="A1" t="str">
            <v>2019-2020学年学前教育校数及在园幼儿数情况</v>
          </cell>
        </row>
        <row r="2">
          <cell r="A2" t="str">
            <v>地区</v>
          </cell>
          <cell r="B2" t="str">
            <v>幼儿园数（所）</v>
          </cell>
        </row>
        <row r="2">
          <cell r="I2" t="str">
            <v>在园人数（人）</v>
          </cell>
        </row>
        <row r="3">
          <cell r="B3" t="str">
            <v>计</v>
          </cell>
          <cell r="C3" t="str">
            <v>公办</v>
          </cell>
          <cell r="D3" t="str">
            <v>民办</v>
          </cell>
        </row>
        <row r="3">
          <cell r="F3" t="str">
            <v>中外
合作</v>
          </cell>
          <cell r="G3" t="str">
            <v>公办园
占比%</v>
          </cell>
          <cell r="H3" t="str">
            <v>普惠性
占比%</v>
          </cell>
          <cell r="I3" t="str">
            <v>计</v>
          </cell>
          <cell r="J3" t="str">
            <v>公办</v>
          </cell>
          <cell r="K3" t="str">
            <v>民办</v>
          </cell>
        </row>
        <row r="3">
          <cell r="M3" t="str">
            <v>中外
合作</v>
          </cell>
          <cell r="N3" t="str">
            <v>公办园
在园数占比%</v>
          </cell>
          <cell r="O3" t="str">
            <v>普惠率%</v>
          </cell>
        </row>
        <row r="4">
          <cell r="D4" t="str">
            <v>小计</v>
          </cell>
          <cell r="E4" t="str">
            <v>其中：
普惠性</v>
          </cell>
        </row>
        <row r="4">
          <cell r="K4" t="str">
            <v>小计</v>
          </cell>
          <cell r="L4" t="str">
            <v>其中：普惠性</v>
          </cell>
        </row>
        <row r="5">
          <cell r="A5" t="str">
            <v>福建省</v>
          </cell>
          <cell r="B5">
            <v>8664</v>
          </cell>
          <cell r="C5">
            <v>2734</v>
          </cell>
          <cell r="D5">
            <v>5929</v>
          </cell>
          <cell r="E5">
            <v>4134</v>
          </cell>
          <cell r="F5">
            <v>1</v>
          </cell>
          <cell r="G5">
            <v>31.56</v>
          </cell>
          <cell r="H5">
            <v>47.71</v>
          </cell>
          <cell r="I5">
            <v>1695859</v>
          </cell>
          <cell r="J5">
            <v>826644</v>
          </cell>
          <cell r="K5">
            <v>869067</v>
          </cell>
          <cell r="L5">
            <v>593163</v>
          </cell>
          <cell r="M5">
            <v>148</v>
          </cell>
          <cell r="N5">
            <v>48.74</v>
          </cell>
          <cell r="O5">
            <v>83.72</v>
          </cell>
        </row>
        <row r="6">
          <cell r="A6" t="str">
            <v>福州市</v>
          </cell>
          <cell r="B6">
            <v>1243</v>
          </cell>
          <cell r="C6">
            <v>328</v>
          </cell>
          <cell r="D6">
            <v>915</v>
          </cell>
          <cell r="E6">
            <v>640</v>
          </cell>
          <cell r="F6">
            <v>0</v>
          </cell>
          <cell r="G6">
            <v>26.39</v>
          </cell>
          <cell r="H6">
            <v>51.49</v>
          </cell>
          <cell r="I6">
            <v>277908</v>
          </cell>
          <cell r="J6">
            <v>147405</v>
          </cell>
          <cell r="K6">
            <v>130503</v>
          </cell>
          <cell r="L6">
            <v>90453</v>
          </cell>
          <cell r="M6">
            <v>0</v>
          </cell>
          <cell r="N6">
            <v>53.04</v>
          </cell>
          <cell r="O6">
            <v>85.59</v>
          </cell>
        </row>
        <row r="7">
          <cell r="A7" t="str">
            <v>厦门市</v>
          </cell>
          <cell r="B7">
            <v>989</v>
          </cell>
          <cell r="C7">
            <v>349</v>
          </cell>
          <cell r="D7">
            <v>639</v>
          </cell>
          <cell r="E7">
            <v>503</v>
          </cell>
          <cell r="F7">
            <v>1</v>
          </cell>
          <cell r="G7">
            <v>35.29</v>
          </cell>
          <cell r="H7">
            <v>50.86</v>
          </cell>
          <cell r="I7">
            <v>193216</v>
          </cell>
          <cell r="J7">
            <v>89644</v>
          </cell>
          <cell r="K7">
            <v>103424</v>
          </cell>
          <cell r="L7">
            <v>84150</v>
          </cell>
          <cell r="M7">
            <v>148</v>
          </cell>
          <cell r="N7">
            <v>46.4</v>
          </cell>
          <cell r="O7">
            <v>89.95</v>
          </cell>
        </row>
        <row r="8">
          <cell r="A8" t="str">
            <v>莆田市</v>
          </cell>
          <cell r="B8">
            <v>448</v>
          </cell>
          <cell r="C8">
            <v>114</v>
          </cell>
          <cell r="D8">
            <v>334</v>
          </cell>
          <cell r="E8">
            <v>154</v>
          </cell>
          <cell r="F8">
            <v>0</v>
          </cell>
          <cell r="G8">
            <v>25.45</v>
          </cell>
          <cell r="H8">
            <v>34.38</v>
          </cell>
          <cell r="I8">
            <v>125713</v>
          </cell>
          <cell r="J8">
            <v>74103</v>
          </cell>
          <cell r="K8">
            <v>51610</v>
          </cell>
          <cell r="L8">
            <v>28497</v>
          </cell>
          <cell r="M8">
            <v>0</v>
          </cell>
          <cell r="N8">
            <v>58.95</v>
          </cell>
          <cell r="O8">
            <v>81.61</v>
          </cell>
        </row>
        <row r="9">
          <cell r="A9" t="str">
            <v>三明市</v>
          </cell>
          <cell r="B9">
            <v>603</v>
          </cell>
          <cell r="C9">
            <v>341</v>
          </cell>
          <cell r="D9">
            <v>262</v>
          </cell>
          <cell r="E9">
            <v>190</v>
          </cell>
          <cell r="F9">
            <v>0</v>
          </cell>
          <cell r="G9">
            <v>56.55</v>
          </cell>
          <cell r="H9">
            <v>31.51</v>
          </cell>
          <cell r="I9">
            <v>106148</v>
          </cell>
          <cell r="J9">
            <v>62553</v>
          </cell>
          <cell r="K9">
            <v>43595</v>
          </cell>
          <cell r="L9">
            <v>33588</v>
          </cell>
          <cell r="M9">
            <v>0</v>
          </cell>
          <cell r="N9">
            <v>58.93</v>
          </cell>
          <cell r="O9">
            <v>90.57</v>
          </cell>
        </row>
        <row r="10">
          <cell r="A10" t="str">
            <v>泉州市</v>
          </cell>
          <cell r="B10">
            <v>1610</v>
          </cell>
          <cell r="C10">
            <v>536</v>
          </cell>
          <cell r="D10">
            <v>1074</v>
          </cell>
          <cell r="E10">
            <v>626</v>
          </cell>
          <cell r="F10">
            <v>0</v>
          </cell>
          <cell r="G10">
            <v>33.29</v>
          </cell>
          <cell r="H10">
            <v>38.88</v>
          </cell>
          <cell r="I10">
            <v>402946</v>
          </cell>
          <cell r="J10">
            <v>184056</v>
          </cell>
          <cell r="K10">
            <v>218890</v>
          </cell>
          <cell r="L10">
            <v>130080</v>
          </cell>
          <cell r="M10">
            <v>0</v>
          </cell>
          <cell r="N10">
            <v>45.68</v>
          </cell>
          <cell r="O10">
            <v>77.96</v>
          </cell>
        </row>
        <row r="11">
          <cell r="A11" t="str">
            <v>漳州市</v>
          </cell>
          <cell r="B11">
            <v>1891</v>
          </cell>
          <cell r="C11">
            <v>482</v>
          </cell>
          <cell r="D11">
            <v>1409</v>
          </cell>
          <cell r="E11">
            <v>1144</v>
          </cell>
          <cell r="F11">
            <v>0</v>
          </cell>
          <cell r="G11">
            <v>25.49</v>
          </cell>
          <cell r="H11">
            <v>60.5</v>
          </cell>
          <cell r="I11">
            <v>209523</v>
          </cell>
          <cell r="J11">
            <v>98939</v>
          </cell>
          <cell r="K11">
            <v>110584</v>
          </cell>
          <cell r="L11">
            <v>87275</v>
          </cell>
          <cell r="M11">
            <v>0</v>
          </cell>
          <cell r="N11">
            <v>47.22</v>
          </cell>
          <cell r="O11">
            <v>88.88</v>
          </cell>
        </row>
        <row r="12">
          <cell r="A12" t="str">
            <v>南平市</v>
          </cell>
          <cell r="B12">
            <v>608</v>
          </cell>
          <cell r="C12">
            <v>165</v>
          </cell>
          <cell r="D12">
            <v>443</v>
          </cell>
          <cell r="E12">
            <v>349</v>
          </cell>
          <cell r="F12">
            <v>0</v>
          </cell>
          <cell r="G12">
            <v>27.14</v>
          </cell>
          <cell r="H12">
            <v>57.4</v>
          </cell>
          <cell r="I12">
            <v>91225</v>
          </cell>
          <cell r="J12">
            <v>42418</v>
          </cell>
          <cell r="K12">
            <v>48807</v>
          </cell>
          <cell r="L12">
            <v>38669</v>
          </cell>
          <cell r="M12">
            <v>0</v>
          </cell>
          <cell r="N12">
            <v>46.5</v>
          </cell>
          <cell r="O12">
            <v>88.89</v>
          </cell>
        </row>
        <row r="13">
          <cell r="A13" t="str">
            <v>龙岩市</v>
          </cell>
          <cell r="B13">
            <v>680</v>
          </cell>
          <cell r="C13">
            <v>207</v>
          </cell>
          <cell r="D13">
            <v>473</v>
          </cell>
          <cell r="E13">
            <v>337</v>
          </cell>
          <cell r="F13">
            <v>0</v>
          </cell>
          <cell r="G13">
            <v>30.44</v>
          </cell>
          <cell r="H13">
            <v>49.56</v>
          </cell>
          <cell r="I13">
            <v>152647</v>
          </cell>
          <cell r="J13">
            <v>70486</v>
          </cell>
          <cell r="K13">
            <v>82161</v>
          </cell>
          <cell r="L13">
            <v>56796</v>
          </cell>
          <cell r="M13">
            <v>0</v>
          </cell>
          <cell r="N13">
            <v>46.18</v>
          </cell>
          <cell r="O13">
            <v>83.38</v>
          </cell>
        </row>
        <row r="14">
          <cell r="A14" t="str">
            <v>宁德市</v>
          </cell>
          <cell r="B14">
            <v>523</v>
          </cell>
          <cell r="C14">
            <v>191</v>
          </cell>
          <cell r="D14">
            <v>332</v>
          </cell>
          <cell r="E14">
            <v>171</v>
          </cell>
          <cell r="F14">
            <v>0</v>
          </cell>
          <cell r="G14">
            <v>36.52</v>
          </cell>
          <cell r="H14">
            <v>32.7</v>
          </cell>
          <cell r="I14">
            <v>124023</v>
          </cell>
          <cell r="J14">
            <v>51018</v>
          </cell>
          <cell r="K14">
            <v>73005</v>
          </cell>
          <cell r="L14">
            <v>41073</v>
          </cell>
          <cell r="M14">
            <v>0</v>
          </cell>
          <cell r="N14">
            <v>41.14</v>
          </cell>
          <cell r="O14">
            <v>74.25</v>
          </cell>
        </row>
        <row r="15">
          <cell r="A15" t="str">
            <v>平潭综合实验区</v>
          </cell>
          <cell r="B15">
            <v>69</v>
          </cell>
          <cell r="C15">
            <v>21</v>
          </cell>
          <cell r="D15">
            <v>48</v>
          </cell>
          <cell r="E15">
            <v>20</v>
          </cell>
          <cell r="F15">
            <v>0</v>
          </cell>
          <cell r="G15">
            <v>30.43</v>
          </cell>
          <cell r="H15">
            <v>28.99</v>
          </cell>
          <cell r="I15">
            <v>12510</v>
          </cell>
          <cell r="J15">
            <v>6022</v>
          </cell>
          <cell r="K15">
            <v>6488</v>
          </cell>
          <cell r="L15">
            <v>2582</v>
          </cell>
          <cell r="M15">
            <v>0</v>
          </cell>
          <cell r="N15">
            <v>48.14</v>
          </cell>
          <cell r="O15">
            <v>68.78</v>
          </cell>
        </row>
      </sheetData>
      <sheetData sheetId="1" refreshError="1">
        <row r="1">
          <cell r="A1" t="str">
            <v>2020-2021学年学前教育园数及在园幼儿数情况</v>
          </cell>
        </row>
        <row r="2">
          <cell r="A2" t="str">
            <v>地区</v>
          </cell>
          <cell r="B2" t="str">
            <v>幼儿园数（所）</v>
          </cell>
        </row>
        <row r="2">
          <cell r="I2" t="str">
            <v>在园人数（人）</v>
          </cell>
        </row>
        <row r="3">
          <cell r="B3" t="str">
            <v>计</v>
          </cell>
          <cell r="C3" t="str">
            <v>公办</v>
          </cell>
          <cell r="D3" t="str">
            <v>民办</v>
          </cell>
        </row>
        <row r="3">
          <cell r="F3" t="str">
            <v>中外
合作</v>
          </cell>
          <cell r="G3" t="str">
            <v>公办园
占比%</v>
          </cell>
          <cell r="H3" t="str">
            <v>普惠性
民办园占比%</v>
          </cell>
          <cell r="I3" t="str">
            <v>计</v>
          </cell>
          <cell r="J3" t="str">
            <v>公办</v>
          </cell>
          <cell r="K3" t="str">
            <v>民办</v>
          </cell>
        </row>
        <row r="3">
          <cell r="M3" t="str">
            <v>中外
合作</v>
          </cell>
          <cell r="N3" t="str">
            <v>公办园
在园数占比%</v>
          </cell>
          <cell r="O3" t="str">
            <v>普惠率%</v>
          </cell>
        </row>
        <row r="4">
          <cell r="D4" t="str">
            <v>小计</v>
          </cell>
          <cell r="E4" t="str">
            <v>其中：
普惠性</v>
          </cell>
        </row>
        <row r="4">
          <cell r="K4" t="str">
            <v>小计</v>
          </cell>
          <cell r="L4" t="str">
            <v>其中：
普惠性</v>
          </cell>
        </row>
        <row r="5">
          <cell r="A5" t="str">
            <v>福建省</v>
          </cell>
          <cell r="B5">
            <v>8756</v>
          </cell>
          <cell r="C5">
            <v>2953</v>
          </cell>
          <cell r="D5">
            <v>5802</v>
          </cell>
          <cell r="E5">
            <v>4712</v>
          </cell>
          <cell r="F5">
            <v>1</v>
          </cell>
          <cell r="G5">
            <v>33.73</v>
          </cell>
          <cell r="H5">
            <v>53.81</v>
          </cell>
          <cell r="I5">
            <v>1698963</v>
          </cell>
          <cell r="J5">
            <v>926313</v>
          </cell>
          <cell r="K5">
            <v>772407</v>
          </cell>
          <cell r="L5">
            <v>639838</v>
          </cell>
          <cell r="M5">
            <v>243</v>
          </cell>
          <cell r="N5">
            <v>54.52</v>
          </cell>
          <cell r="O5">
            <v>92.18</v>
          </cell>
        </row>
        <row r="6">
          <cell r="A6" t="str">
            <v>福州市</v>
          </cell>
          <cell r="B6">
            <v>1247</v>
          </cell>
          <cell r="C6">
            <v>370</v>
          </cell>
          <cell r="D6">
            <v>877</v>
          </cell>
          <cell r="E6">
            <v>643</v>
          </cell>
          <cell r="F6">
            <v>0</v>
          </cell>
          <cell r="G6">
            <v>29.67</v>
          </cell>
          <cell r="H6">
            <v>51.56</v>
          </cell>
          <cell r="I6">
            <v>287075</v>
          </cell>
          <cell r="J6">
            <v>164670</v>
          </cell>
          <cell r="K6">
            <v>122405</v>
          </cell>
          <cell r="L6">
            <v>95219</v>
          </cell>
          <cell r="M6">
            <v>0</v>
          </cell>
          <cell r="N6">
            <v>57.36</v>
          </cell>
          <cell r="O6">
            <v>90.53</v>
          </cell>
        </row>
        <row r="7">
          <cell r="A7" t="str">
            <v>厦门市</v>
          </cell>
          <cell r="B7">
            <v>1037</v>
          </cell>
          <cell r="C7">
            <v>371</v>
          </cell>
          <cell r="D7">
            <v>665</v>
          </cell>
          <cell r="E7">
            <v>591</v>
          </cell>
          <cell r="F7">
            <v>1</v>
          </cell>
          <cell r="G7">
            <v>35.78</v>
          </cell>
          <cell r="H7">
            <v>56.99</v>
          </cell>
          <cell r="I7">
            <v>208191</v>
          </cell>
          <cell r="J7">
            <v>104706</v>
          </cell>
          <cell r="K7">
            <v>103242</v>
          </cell>
          <cell r="L7">
            <v>93104</v>
          </cell>
          <cell r="M7">
            <v>243</v>
          </cell>
          <cell r="N7">
            <v>50.29</v>
          </cell>
          <cell r="O7">
            <v>95.01</v>
          </cell>
        </row>
        <row r="8">
          <cell r="A8" t="str">
            <v>莆田市</v>
          </cell>
          <cell r="B8">
            <v>454</v>
          </cell>
          <cell r="C8">
            <v>121</v>
          </cell>
          <cell r="D8">
            <v>333</v>
          </cell>
          <cell r="E8">
            <v>238</v>
          </cell>
          <cell r="F8">
            <v>0</v>
          </cell>
          <cell r="G8">
            <v>26.65</v>
          </cell>
          <cell r="H8">
            <v>52.42</v>
          </cell>
          <cell r="I8">
            <v>125308</v>
          </cell>
          <cell r="J8">
            <v>78318</v>
          </cell>
          <cell r="K8">
            <v>46990</v>
          </cell>
          <cell r="L8">
            <v>37014</v>
          </cell>
          <cell r="M8">
            <v>0</v>
          </cell>
          <cell r="N8">
            <v>62.5</v>
          </cell>
          <cell r="O8">
            <v>92.04</v>
          </cell>
        </row>
        <row r="9">
          <cell r="A9" t="str">
            <v>三明市</v>
          </cell>
          <cell r="B9">
            <v>588</v>
          </cell>
          <cell r="C9">
            <v>326</v>
          </cell>
          <cell r="D9">
            <v>262</v>
          </cell>
          <cell r="E9">
            <v>214</v>
          </cell>
          <cell r="F9">
            <v>0</v>
          </cell>
          <cell r="G9">
            <v>55.44</v>
          </cell>
          <cell r="H9">
            <v>36.39</v>
          </cell>
          <cell r="I9">
            <v>105095</v>
          </cell>
          <cell r="J9">
            <v>65252</v>
          </cell>
          <cell r="K9">
            <v>39843</v>
          </cell>
          <cell r="L9">
            <v>34211</v>
          </cell>
          <cell r="M9">
            <v>0</v>
          </cell>
          <cell r="N9">
            <v>62.09</v>
          </cell>
          <cell r="O9">
            <v>94.64</v>
          </cell>
        </row>
        <row r="10">
          <cell r="A10" t="str">
            <v>泉州市</v>
          </cell>
          <cell r="B10">
            <v>1632</v>
          </cell>
          <cell r="C10">
            <v>573</v>
          </cell>
          <cell r="D10">
            <v>1059</v>
          </cell>
          <cell r="E10">
            <v>825</v>
          </cell>
          <cell r="F10">
            <v>0</v>
          </cell>
          <cell r="G10">
            <v>35.11</v>
          </cell>
          <cell r="H10">
            <v>50.55</v>
          </cell>
          <cell r="I10">
            <v>396290</v>
          </cell>
          <cell r="J10">
            <v>204608</v>
          </cell>
          <cell r="K10">
            <v>191682</v>
          </cell>
          <cell r="L10">
            <v>151688</v>
          </cell>
          <cell r="M10">
            <v>0</v>
          </cell>
          <cell r="N10">
            <v>51.63</v>
          </cell>
          <cell r="O10">
            <v>89.91</v>
          </cell>
        </row>
        <row r="11">
          <cell r="A11" t="str">
            <v>漳州市</v>
          </cell>
          <cell r="B11">
            <v>1899</v>
          </cell>
          <cell r="C11">
            <v>555</v>
          </cell>
          <cell r="D11">
            <v>1344</v>
          </cell>
          <cell r="E11">
            <v>1158</v>
          </cell>
          <cell r="F11">
            <v>0</v>
          </cell>
          <cell r="G11">
            <v>29.23</v>
          </cell>
          <cell r="H11">
            <v>60.98</v>
          </cell>
          <cell r="I11">
            <v>215421</v>
          </cell>
          <cell r="J11">
            <v>119628</v>
          </cell>
          <cell r="K11">
            <v>95793</v>
          </cell>
          <cell r="L11">
            <v>85235</v>
          </cell>
          <cell r="M11">
            <v>0</v>
          </cell>
          <cell r="N11">
            <v>55.53</v>
          </cell>
          <cell r="O11">
            <v>95.1</v>
          </cell>
        </row>
        <row r="12">
          <cell r="A12" t="str">
            <v>南平市</v>
          </cell>
          <cell r="B12">
            <v>580</v>
          </cell>
          <cell r="C12">
            <v>171</v>
          </cell>
          <cell r="D12">
            <v>409</v>
          </cell>
          <cell r="E12">
            <v>342</v>
          </cell>
          <cell r="F12">
            <v>0</v>
          </cell>
          <cell r="G12">
            <v>29.48</v>
          </cell>
          <cell r="H12">
            <v>58.97</v>
          </cell>
          <cell r="I12">
            <v>87761</v>
          </cell>
          <cell r="J12">
            <v>47203</v>
          </cell>
          <cell r="K12">
            <v>40558</v>
          </cell>
          <cell r="L12">
            <v>34903</v>
          </cell>
          <cell r="M12">
            <v>0</v>
          </cell>
          <cell r="N12">
            <v>53.79</v>
          </cell>
          <cell r="O12">
            <v>93.56</v>
          </cell>
        </row>
        <row r="13">
          <cell r="A13" t="str">
            <v>龙岩市</v>
          </cell>
          <cell r="B13">
            <v>697</v>
          </cell>
          <cell r="C13">
            <v>228</v>
          </cell>
          <cell r="D13">
            <v>469</v>
          </cell>
          <cell r="E13">
            <v>410</v>
          </cell>
          <cell r="F13">
            <v>0</v>
          </cell>
          <cell r="G13">
            <v>32.71</v>
          </cell>
          <cell r="H13">
            <v>58.82</v>
          </cell>
          <cell r="I13">
            <v>140314</v>
          </cell>
          <cell r="J13">
            <v>74828</v>
          </cell>
          <cell r="K13">
            <v>65486</v>
          </cell>
          <cell r="L13">
            <v>54289</v>
          </cell>
          <cell r="M13">
            <v>0</v>
          </cell>
          <cell r="N13">
            <v>53.33</v>
          </cell>
          <cell r="O13">
            <v>92.02</v>
          </cell>
        </row>
        <row r="14">
          <cell r="A14" t="str">
            <v>宁德市</v>
          </cell>
          <cell r="B14">
            <v>546</v>
          </cell>
          <cell r="C14">
            <v>215</v>
          </cell>
          <cell r="D14">
            <v>331</v>
          </cell>
          <cell r="E14">
            <v>251</v>
          </cell>
          <cell r="F14">
            <v>0</v>
          </cell>
          <cell r="G14">
            <v>39.38</v>
          </cell>
          <cell r="H14">
            <v>45.97</v>
          </cell>
          <cell r="I14">
            <v>119598</v>
          </cell>
          <cell r="J14">
            <v>60203</v>
          </cell>
          <cell r="K14">
            <v>59395</v>
          </cell>
          <cell r="L14">
            <v>48958</v>
          </cell>
          <cell r="M14">
            <v>0</v>
          </cell>
          <cell r="N14">
            <v>50.34</v>
          </cell>
          <cell r="O14">
            <v>91.27</v>
          </cell>
        </row>
        <row r="15">
          <cell r="A15" t="str">
            <v>平潭综合实验区</v>
          </cell>
          <cell r="B15">
            <v>76</v>
          </cell>
          <cell r="C15">
            <v>23</v>
          </cell>
          <cell r="D15">
            <v>53</v>
          </cell>
          <cell r="E15">
            <v>40</v>
          </cell>
          <cell r="F15">
            <v>0</v>
          </cell>
          <cell r="G15">
            <v>30.26</v>
          </cell>
          <cell r="H15">
            <v>52.63</v>
          </cell>
          <cell r="I15">
            <v>13910</v>
          </cell>
          <cell r="J15">
            <v>6897</v>
          </cell>
          <cell r="K15">
            <v>7013</v>
          </cell>
          <cell r="L15">
            <v>5217</v>
          </cell>
          <cell r="M15">
            <v>0</v>
          </cell>
          <cell r="N15">
            <v>49.58</v>
          </cell>
          <cell r="O15">
            <v>87.09</v>
          </cell>
        </row>
      </sheetData>
      <sheetData sheetId="2" refreshError="1">
        <row r="1">
          <cell r="A1" t="str">
            <v>2021-2022学年学前教育园数及在园幼儿数情况</v>
          </cell>
        </row>
        <row r="2">
          <cell r="A2" t="str">
            <v/>
          </cell>
        </row>
        <row r="3">
          <cell r="A3" t="str">
            <v>行政区域</v>
          </cell>
          <cell r="B3" t="str">
            <v>幼儿园数（所）</v>
          </cell>
        </row>
        <row r="3">
          <cell r="I3" t="str">
            <v>在园人数（人）</v>
          </cell>
        </row>
        <row r="4">
          <cell r="B4" t="str">
            <v>计</v>
          </cell>
          <cell r="C4" t="str">
            <v>公办</v>
          </cell>
          <cell r="D4" t="str">
            <v>民办</v>
          </cell>
        </row>
        <row r="4">
          <cell r="F4" t="str">
            <v>中外
合作</v>
          </cell>
          <cell r="G4" t="str">
            <v>公办园
占比（%）</v>
          </cell>
          <cell r="H4" t="str">
            <v>普惠性
民办园占比（%）</v>
          </cell>
          <cell r="I4" t="str">
            <v>计</v>
          </cell>
          <cell r="J4" t="str">
            <v>公办</v>
          </cell>
          <cell r="K4" t="str">
            <v>民办</v>
          </cell>
        </row>
        <row r="4">
          <cell r="M4" t="str">
            <v>中外
合作</v>
          </cell>
          <cell r="N4" t="str">
            <v>公办园
在园数占比（%）</v>
          </cell>
          <cell r="O4" t="str">
            <v>普惠率（%）</v>
          </cell>
        </row>
        <row r="5">
          <cell r="D5" t="str">
            <v>小计</v>
          </cell>
          <cell r="E5" t="str">
            <v>其中：普惠性</v>
          </cell>
        </row>
        <row r="5">
          <cell r="K5" t="str">
            <v>小计</v>
          </cell>
          <cell r="L5" t="str">
            <v>其中：
普惠性</v>
          </cell>
        </row>
        <row r="6">
          <cell r="A6" t="str">
            <v>福建省</v>
          </cell>
          <cell r="B6">
            <v>8836</v>
          </cell>
          <cell r="C6">
            <v>2974</v>
          </cell>
          <cell r="D6">
            <v>5861</v>
          </cell>
          <cell r="E6">
            <v>4829</v>
          </cell>
          <cell r="F6">
            <v>1</v>
          </cell>
          <cell r="G6">
            <v>33.66</v>
          </cell>
          <cell r="H6">
            <v>54.65</v>
          </cell>
          <cell r="I6">
            <v>1672656</v>
          </cell>
          <cell r="J6">
            <v>951407</v>
          </cell>
          <cell r="K6">
            <v>720916</v>
          </cell>
          <cell r="L6">
            <v>606164</v>
          </cell>
          <cell r="M6">
            <v>333</v>
          </cell>
          <cell r="N6">
            <v>56.88</v>
          </cell>
          <cell r="O6">
            <v>93.12</v>
          </cell>
        </row>
        <row r="7">
          <cell r="A7" t="str">
            <v>福州市</v>
          </cell>
          <cell r="B7">
            <v>1253</v>
          </cell>
          <cell r="C7">
            <v>387</v>
          </cell>
          <cell r="D7">
            <v>866</v>
          </cell>
          <cell r="E7">
            <v>673</v>
          </cell>
          <cell r="F7">
            <v>0</v>
          </cell>
          <cell r="G7">
            <v>30.89</v>
          </cell>
          <cell r="H7">
            <v>53.71</v>
          </cell>
          <cell r="I7">
            <v>279772</v>
          </cell>
          <cell r="J7">
            <v>164819</v>
          </cell>
          <cell r="K7">
            <v>114953</v>
          </cell>
          <cell r="L7">
            <v>99512</v>
          </cell>
          <cell r="M7">
            <v>0</v>
          </cell>
          <cell r="N7">
            <v>58.91</v>
          </cell>
          <cell r="O7">
            <v>94.48</v>
          </cell>
        </row>
        <row r="8">
          <cell r="A8" t="str">
            <v>厦门市</v>
          </cell>
          <cell r="B8">
            <v>1044</v>
          </cell>
          <cell r="C8">
            <v>388</v>
          </cell>
          <cell r="D8">
            <v>655</v>
          </cell>
          <cell r="E8">
            <v>571</v>
          </cell>
          <cell r="F8">
            <v>1</v>
          </cell>
          <cell r="G8">
            <v>37.16</v>
          </cell>
          <cell r="H8">
            <v>54.69</v>
          </cell>
          <cell r="I8">
            <v>218071</v>
          </cell>
          <cell r="J8">
            <v>111148</v>
          </cell>
          <cell r="K8">
            <v>106590</v>
          </cell>
          <cell r="L8">
            <v>96791</v>
          </cell>
          <cell r="M8">
            <v>333</v>
          </cell>
          <cell r="N8">
            <v>50.97</v>
          </cell>
          <cell r="O8">
            <v>95.35</v>
          </cell>
        </row>
        <row r="9">
          <cell r="A9" t="str">
            <v>莆田市</v>
          </cell>
          <cell r="B9">
            <v>461</v>
          </cell>
          <cell r="C9">
            <v>128</v>
          </cell>
          <cell r="D9">
            <v>333</v>
          </cell>
          <cell r="E9">
            <v>240</v>
          </cell>
          <cell r="F9">
            <v>0</v>
          </cell>
          <cell r="G9">
            <v>27.77</v>
          </cell>
          <cell r="H9">
            <v>52.06</v>
          </cell>
          <cell r="I9">
            <v>119871</v>
          </cell>
          <cell r="J9">
            <v>74904</v>
          </cell>
          <cell r="K9">
            <v>44967</v>
          </cell>
          <cell r="L9">
            <v>35165</v>
          </cell>
          <cell r="M9">
            <v>0</v>
          </cell>
          <cell r="N9">
            <v>62.49</v>
          </cell>
          <cell r="O9">
            <v>91.82</v>
          </cell>
        </row>
        <row r="10">
          <cell r="A10" t="str">
            <v>三明市</v>
          </cell>
          <cell r="B10">
            <v>568</v>
          </cell>
          <cell r="C10">
            <v>310</v>
          </cell>
          <cell r="D10">
            <v>258</v>
          </cell>
          <cell r="E10">
            <v>216</v>
          </cell>
          <cell r="F10">
            <v>0</v>
          </cell>
          <cell r="G10">
            <v>54.58</v>
          </cell>
          <cell r="H10">
            <v>38.03</v>
          </cell>
          <cell r="I10">
            <v>99080</v>
          </cell>
          <cell r="J10">
            <v>64519</v>
          </cell>
          <cell r="K10">
            <v>34561</v>
          </cell>
          <cell r="L10">
            <v>30112</v>
          </cell>
          <cell r="M10">
            <v>0</v>
          </cell>
          <cell r="N10">
            <v>65.12</v>
          </cell>
          <cell r="O10">
            <v>95.51</v>
          </cell>
        </row>
        <row r="11">
          <cell r="A11" t="str">
            <v>泉州市</v>
          </cell>
          <cell r="B11">
            <v>1694</v>
          </cell>
          <cell r="C11">
            <v>617</v>
          </cell>
          <cell r="D11">
            <v>1077</v>
          </cell>
          <cell r="E11">
            <v>823</v>
          </cell>
          <cell r="F11">
            <v>0</v>
          </cell>
          <cell r="G11">
            <v>36.42</v>
          </cell>
          <cell r="H11">
            <v>48.58</v>
          </cell>
          <cell r="I11">
            <v>392700</v>
          </cell>
          <cell r="J11">
            <v>218310</v>
          </cell>
          <cell r="K11">
            <v>174390</v>
          </cell>
          <cell r="L11">
            <v>134406</v>
          </cell>
          <cell r="M11">
            <v>0</v>
          </cell>
          <cell r="N11">
            <v>55.59</v>
          </cell>
          <cell r="O11">
            <v>89.82</v>
          </cell>
        </row>
        <row r="12">
          <cell r="A12" t="str">
            <v>漳州市</v>
          </cell>
          <cell r="B12">
            <v>1907</v>
          </cell>
          <cell r="C12">
            <v>474</v>
          </cell>
          <cell r="D12">
            <v>1433</v>
          </cell>
          <cell r="E12">
            <v>1246</v>
          </cell>
          <cell r="F12">
            <v>0</v>
          </cell>
          <cell r="G12">
            <v>24.86</v>
          </cell>
          <cell r="H12">
            <v>65.34</v>
          </cell>
          <cell r="I12">
            <v>215619</v>
          </cell>
          <cell r="J12">
            <v>128105</v>
          </cell>
          <cell r="K12">
            <v>87514</v>
          </cell>
          <cell r="L12">
            <v>76208</v>
          </cell>
          <cell r="M12">
            <v>0</v>
          </cell>
          <cell r="N12">
            <v>59.41</v>
          </cell>
          <cell r="O12">
            <v>94.76</v>
          </cell>
        </row>
        <row r="13">
          <cell r="A13" t="str">
            <v>南平市</v>
          </cell>
          <cell r="B13">
            <v>559</v>
          </cell>
          <cell r="C13">
            <v>180</v>
          </cell>
          <cell r="D13">
            <v>379</v>
          </cell>
          <cell r="E13">
            <v>339</v>
          </cell>
          <cell r="F13">
            <v>0</v>
          </cell>
          <cell r="G13">
            <v>32.2</v>
          </cell>
          <cell r="H13">
            <v>60.64</v>
          </cell>
          <cell r="I13">
            <v>84938</v>
          </cell>
          <cell r="J13">
            <v>50861</v>
          </cell>
          <cell r="K13">
            <v>34077</v>
          </cell>
          <cell r="L13">
            <v>30431</v>
          </cell>
          <cell r="M13">
            <v>0</v>
          </cell>
          <cell r="N13">
            <v>59.88</v>
          </cell>
          <cell r="O13">
            <v>95.71</v>
          </cell>
        </row>
        <row r="14">
          <cell r="A14" t="str">
            <v>龙岩市</v>
          </cell>
          <cell r="B14">
            <v>708</v>
          </cell>
          <cell r="C14">
            <v>247</v>
          </cell>
          <cell r="D14">
            <v>461</v>
          </cell>
          <cell r="E14">
            <v>414</v>
          </cell>
          <cell r="F14">
            <v>0</v>
          </cell>
          <cell r="G14">
            <v>34.89</v>
          </cell>
          <cell r="H14">
            <v>58.47</v>
          </cell>
          <cell r="I14">
            <v>132102</v>
          </cell>
          <cell r="J14">
            <v>71637</v>
          </cell>
          <cell r="K14">
            <v>60465</v>
          </cell>
          <cell r="L14">
            <v>51427</v>
          </cell>
          <cell r="M14">
            <v>0</v>
          </cell>
          <cell r="N14">
            <v>54.23</v>
          </cell>
          <cell r="O14">
            <v>93.16</v>
          </cell>
        </row>
        <row r="15">
          <cell r="A15" t="str">
            <v>宁德市</v>
          </cell>
          <cell r="B15">
            <v>563</v>
          </cell>
          <cell r="C15">
            <v>218</v>
          </cell>
          <cell r="D15">
            <v>345</v>
          </cell>
          <cell r="E15">
            <v>267</v>
          </cell>
          <cell r="F15">
            <v>0</v>
          </cell>
          <cell r="G15">
            <v>38.72</v>
          </cell>
          <cell r="H15">
            <v>47.42</v>
          </cell>
          <cell r="I15">
            <v>116434</v>
          </cell>
          <cell r="J15">
            <v>59410</v>
          </cell>
          <cell r="K15">
            <v>57024</v>
          </cell>
          <cell r="L15">
            <v>47364</v>
          </cell>
          <cell r="M15">
            <v>0</v>
          </cell>
          <cell r="N15">
            <v>51.02</v>
          </cell>
          <cell r="O15">
            <v>91.7</v>
          </cell>
        </row>
        <row r="16">
          <cell r="A16" t="str">
            <v>平潭综合实验区</v>
          </cell>
          <cell r="B16">
            <v>79</v>
          </cell>
          <cell r="C16">
            <v>25</v>
          </cell>
          <cell r="D16">
            <v>54</v>
          </cell>
          <cell r="E16">
            <v>40</v>
          </cell>
          <cell r="F16">
            <v>0</v>
          </cell>
          <cell r="G16">
            <v>31.65</v>
          </cell>
          <cell r="H16">
            <v>50.63</v>
          </cell>
          <cell r="I16">
            <v>14069</v>
          </cell>
          <cell r="J16">
            <v>7694</v>
          </cell>
          <cell r="K16">
            <v>6375</v>
          </cell>
          <cell r="L16">
            <v>4748</v>
          </cell>
          <cell r="M16">
            <v>0</v>
          </cell>
          <cell r="N16">
            <v>54.69</v>
          </cell>
          <cell r="O16">
            <v>88.44</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view="pageBreakPreview" zoomScaleNormal="100" zoomScaleSheetLayoutView="100" topLeftCell="A7" workbookViewId="0">
      <selection activeCell="B15" sqref="B15"/>
    </sheetView>
  </sheetViews>
  <sheetFormatPr defaultColWidth="9" defaultRowHeight="14.25"/>
  <cols>
    <col min="1" max="1" width="15" customWidth="true"/>
    <col min="2" max="2" width="8.44166666666667" customWidth="true"/>
    <col min="3" max="5" width="9.44166666666667" customWidth="true"/>
    <col min="6" max="8" width="9.55833333333333" customWidth="true"/>
    <col min="9" max="9" width="9.44166666666667" customWidth="true"/>
  </cols>
  <sheetData>
    <row r="1" ht="20.25" spans="1:1">
      <c r="A1" s="133" t="s">
        <v>0</v>
      </c>
    </row>
    <row r="2" ht="10" customHeight="true" spans="1:1">
      <c r="A2" s="134"/>
    </row>
    <row r="3" ht="24" spans="1:9">
      <c r="A3" s="135" t="s">
        <v>1</v>
      </c>
      <c r="B3" s="135"/>
      <c r="C3" s="135"/>
      <c r="D3" s="135"/>
      <c r="E3" s="135"/>
      <c r="F3" s="135"/>
      <c r="G3" s="135"/>
      <c r="H3" s="135"/>
      <c r="I3" s="135"/>
    </row>
    <row r="4" ht="9" customHeight="true" spans="1:9">
      <c r="A4" s="25"/>
      <c r="B4" s="25"/>
      <c r="C4" s="25"/>
      <c r="D4" s="25"/>
      <c r="E4" s="25"/>
      <c r="F4" s="25"/>
      <c r="G4" s="25"/>
      <c r="H4" s="25"/>
      <c r="I4" s="25"/>
    </row>
    <row r="5" s="22" customFormat="true" ht="63" customHeight="true" spans="1:9">
      <c r="A5" s="136" t="s">
        <v>2</v>
      </c>
      <c r="B5" s="137" t="s">
        <v>3</v>
      </c>
      <c r="C5" s="137" t="s">
        <v>4</v>
      </c>
      <c r="D5" s="137" t="s">
        <v>5</v>
      </c>
      <c r="E5" s="137" t="s">
        <v>6</v>
      </c>
      <c r="F5" s="144" t="s">
        <v>7</v>
      </c>
      <c r="G5" s="145"/>
      <c r="H5" s="146"/>
      <c r="I5" s="137" t="s">
        <v>8</v>
      </c>
    </row>
    <row r="6" s="22" customFormat="true" ht="63" customHeight="true" spans="1:9">
      <c r="A6" s="138"/>
      <c r="B6" s="139"/>
      <c r="C6" s="139"/>
      <c r="D6" s="139"/>
      <c r="E6" s="139"/>
      <c r="F6" s="29" t="s">
        <v>9</v>
      </c>
      <c r="G6" s="29" t="s">
        <v>10</v>
      </c>
      <c r="H6" s="29" t="s">
        <v>11</v>
      </c>
      <c r="I6" s="139"/>
    </row>
    <row r="7" ht="41" customHeight="true" spans="1:9">
      <c r="A7" s="37" t="s">
        <v>12</v>
      </c>
      <c r="B7" s="140">
        <f t="shared" ref="B7:I7" si="0">SUM(B8:B18)</f>
        <v>216</v>
      </c>
      <c r="C7" s="140">
        <f t="shared" si="0"/>
        <v>919383.64</v>
      </c>
      <c r="D7" s="140">
        <f t="shared" si="0"/>
        <v>304072.15</v>
      </c>
      <c r="E7" s="140">
        <f t="shared" si="0"/>
        <v>105560.33</v>
      </c>
      <c r="F7" s="140">
        <f>G7+H7</f>
        <v>60056</v>
      </c>
      <c r="G7" s="140">
        <f t="shared" si="0"/>
        <v>56556</v>
      </c>
      <c r="H7" s="140">
        <f t="shared" si="0"/>
        <v>3500</v>
      </c>
      <c r="I7" s="140">
        <f t="shared" si="0"/>
        <v>66600</v>
      </c>
    </row>
    <row r="8" ht="41" customHeight="true" spans="1:9">
      <c r="A8" s="37" t="s">
        <v>13</v>
      </c>
      <c r="B8" s="140">
        <v>3</v>
      </c>
      <c r="C8" s="140">
        <v>6100</v>
      </c>
      <c r="D8" s="140">
        <v>1430</v>
      </c>
      <c r="E8" s="140">
        <v>1430</v>
      </c>
      <c r="F8" s="140">
        <f t="shared" ref="F8:F18" si="1">G8+H8</f>
        <v>1020</v>
      </c>
      <c r="G8" s="140">
        <v>1020</v>
      </c>
      <c r="H8" s="140"/>
      <c r="I8" s="140">
        <v>360</v>
      </c>
    </row>
    <row r="9" ht="41" customHeight="true" spans="1:9">
      <c r="A9" s="37" t="s">
        <v>14</v>
      </c>
      <c r="B9" s="140">
        <v>38</v>
      </c>
      <c r="C9" s="140">
        <v>139031.51</v>
      </c>
      <c r="D9" s="140">
        <v>41398.43</v>
      </c>
      <c r="E9" s="140">
        <v>11202</v>
      </c>
      <c r="F9" s="140">
        <f t="shared" si="1"/>
        <v>7488</v>
      </c>
      <c r="G9" s="140">
        <v>7488</v>
      </c>
      <c r="H9" s="140"/>
      <c r="I9" s="140">
        <v>12060</v>
      </c>
    </row>
    <row r="10" ht="41" customHeight="true" spans="1:9">
      <c r="A10" s="37" t="s">
        <v>15</v>
      </c>
      <c r="B10" s="140">
        <v>20</v>
      </c>
      <c r="C10" s="140">
        <v>98496.51</v>
      </c>
      <c r="D10" s="140">
        <v>18524.13</v>
      </c>
      <c r="E10" s="140">
        <v>10774.8</v>
      </c>
      <c r="F10" s="140">
        <f t="shared" si="1"/>
        <v>6228</v>
      </c>
      <c r="G10" s="140">
        <v>6228</v>
      </c>
      <c r="H10" s="140"/>
      <c r="I10" s="140">
        <v>7470</v>
      </c>
    </row>
    <row r="11" ht="41" customHeight="true" spans="1:9">
      <c r="A11" s="37" t="s">
        <v>16</v>
      </c>
      <c r="B11" s="141">
        <v>20</v>
      </c>
      <c r="C11" s="141">
        <v>71676.03</v>
      </c>
      <c r="D11" s="141">
        <v>24349</v>
      </c>
      <c r="E11" s="141">
        <v>10026</v>
      </c>
      <c r="F11" s="140">
        <f t="shared" si="1"/>
        <v>5136</v>
      </c>
      <c r="G11" s="141">
        <v>5136</v>
      </c>
      <c r="H11" s="141"/>
      <c r="I11" s="141">
        <v>4500</v>
      </c>
    </row>
    <row r="12" ht="41" customHeight="true" spans="1:9">
      <c r="A12" s="37" t="s">
        <v>17</v>
      </c>
      <c r="B12" s="142">
        <v>33</v>
      </c>
      <c r="C12" s="142">
        <v>211798.97</v>
      </c>
      <c r="D12" s="142">
        <v>61973.6</v>
      </c>
      <c r="E12" s="142">
        <v>18718</v>
      </c>
      <c r="F12" s="140">
        <f t="shared" si="1"/>
        <v>12252</v>
      </c>
      <c r="G12" s="142">
        <v>12252</v>
      </c>
      <c r="H12" s="142"/>
      <c r="I12" s="142">
        <v>13170</v>
      </c>
    </row>
    <row r="13" ht="41" customHeight="true" spans="1:9">
      <c r="A13" s="37" t="s">
        <v>18</v>
      </c>
      <c r="B13" s="140">
        <v>14</v>
      </c>
      <c r="C13" s="140">
        <v>50567.46</v>
      </c>
      <c r="D13" s="140">
        <v>17813.05</v>
      </c>
      <c r="E13" s="140">
        <v>8560.13</v>
      </c>
      <c r="F13" s="140">
        <f t="shared" si="1"/>
        <v>5295</v>
      </c>
      <c r="G13" s="140">
        <v>4495</v>
      </c>
      <c r="H13" s="140">
        <v>800</v>
      </c>
      <c r="I13" s="140">
        <v>4770</v>
      </c>
    </row>
    <row r="14" ht="41" customHeight="true" spans="1:9">
      <c r="A14" s="37" t="s">
        <v>19</v>
      </c>
      <c r="B14" s="140">
        <v>19</v>
      </c>
      <c r="C14" s="140">
        <v>64388</v>
      </c>
      <c r="D14" s="140">
        <v>27458</v>
      </c>
      <c r="E14" s="140">
        <v>15553.4</v>
      </c>
      <c r="F14" s="140">
        <f t="shared" si="1"/>
        <v>7626</v>
      </c>
      <c r="G14" s="140">
        <v>6126</v>
      </c>
      <c r="H14" s="140">
        <v>1500</v>
      </c>
      <c r="I14" s="140">
        <v>4950</v>
      </c>
    </row>
    <row r="15" ht="41" customHeight="true" spans="1:9">
      <c r="A15" s="37" t="s">
        <v>20</v>
      </c>
      <c r="B15" s="140">
        <v>32</v>
      </c>
      <c r="C15" s="140">
        <v>103362.27</v>
      </c>
      <c r="D15" s="140">
        <v>33638.94</v>
      </c>
      <c r="E15" s="140">
        <v>21332</v>
      </c>
      <c r="F15" s="140">
        <f t="shared" si="1"/>
        <v>9747</v>
      </c>
      <c r="G15" s="140">
        <v>9747</v>
      </c>
      <c r="H15" s="140"/>
      <c r="I15" s="140">
        <v>8040</v>
      </c>
    </row>
    <row r="16" ht="41" customHeight="true" spans="1:9">
      <c r="A16" s="37" t="s">
        <v>21</v>
      </c>
      <c r="B16" s="140">
        <v>15</v>
      </c>
      <c r="C16" s="140">
        <v>55162</v>
      </c>
      <c r="D16" s="140">
        <v>19983</v>
      </c>
      <c r="E16" s="140">
        <v>5964</v>
      </c>
      <c r="F16" s="140">
        <f t="shared" si="1"/>
        <v>4377</v>
      </c>
      <c r="G16" s="140">
        <v>3177</v>
      </c>
      <c r="H16" s="140">
        <v>1200</v>
      </c>
      <c r="I16" s="140">
        <v>3090</v>
      </c>
    </row>
    <row r="17" ht="41" customHeight="true" spans="1:9">
      <c r="A17" s="37" t="s">
        <v>22</v>
      </c>
      <c r="B17" s="140">
        <v>4</v>
      </c>
      <c r="C17" s="140">
        <v>19149.89</v>
      </c>
      <c r="D17" s="140">
        <v>5510</v>
      </c>
      <c r="E17" s="140">
        <v>2000</v>
      </c>
      <c r="F17" s="140">
        <f t="shared" si="1"/>
        <v>887</v>
      </c>
      <c r="G17" s="140">
        <v>887</v>
      </c>
      <c r="H17" s="140"/>
      <c r="I17" s="140">
        <v>1170</v>
      </c>
    </row>
    <row r="18" ht="41" customHeight="true" spans="1:9">
      <c r="A18" s="37" t="s">
        <v>23</v>
      </c>
      <c r="B18" s="140">
        <f>'[1]厦门+省属'!C11</f>
        <v>18</v>
      </c>
      <c r="C18" s="140">
        <f>'[1]厦门+省属'!K11</f>
        <v>99651</v>
      </c>
      <c r="D18" s="140">
        <f>'[1]厦门+省属'!Q11</f>
        <v>51994</v>
      </c>
      <c r="E18" s="140">
        <f>'[1]厦门+省属'!R11</f>
        <v>0</v>
      </c>
      <c r="F18" s="140">
        <f t="shared" si="1"/>
        <v>0</v>
      </c>
      <c r="G18" s="140">
        <v>0</v>
      </c>
      <c r="H18" s="140"/>
      <c r="I18" s="140">
        <f>'[1]厦门+省属'!P11</f>
        <v>7020</v>
      </c>
    </row>
    <row r="19" ht="34" customHeight="true" spans="1:9">
      <c r="A19" s="143" t="s">
        <v>24</v>
      </c>
      <c r="B19" s="143"/>
      <c r="C19" s="143"/>
      <c r="D19" s="143"/>
      <c r="E19" s="143"/>
      <c r="F19" s="143"/>
      <c r="G19" s="143"/>
      <c r="H19" s="143"/>
      <c r="I19" s="143"/>
    </row>
  </sheetData>
  <mergeCells count="10">
    <mergeCell ref="A3:I3"/>
    <mergeCell ref="A4:I4"/>
    <mergeCell ref="F5:H5"/>
    <mergeCell ref="A19:I19"/>
    <mergeCell ref="A5:A6"/>
    <mergeCell ref="B5:B6"/>
    <mergeCell ref="C5:C6"/>
    <mergeCell ref="D5:D6"/>
    <mergeCell ref="E5:E6"/>
    <mergeCell ref="I5:I6"/>
  </mergeCells>
  <printOptions horizontalCentered="true"/>
  <pageMargins left="0.554861111111111" right="0.554861111111111" top="1" bottom="1"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C286"/>
  <sheetViews>
    <sheetView view="pageBreakPreview" zoomScale="70" zoomScaleNormal="100" zoomScaleSheetLayoutView="70" workbookViewId="0">
      <pane xSplit="2" ySplit="5" topLeftCell="C276" activePane="bottomRight" state="frozen"/>
      <selection/>
      <selection pane="topRight"/>
      <selection pane="bottomLeft"/>
      <selection pane="bottomRight" activeCell="G6" sqref="G6:G286"/>
    </sheetView>
  </sheetViews>
  <sheetFormatPr defaultColWidth="9" defaultRowHeight="14.25"/>
  <cols>
    <col min="1" max="1" width="6.13333333333333" customWidth="true"/>
    <col min="2" max="2" width="10.5583333333333" customWidth="true"/>
    <col min="3" max="3" width="17.1083333333333" customWidth="true"/>
    <col min="4" max="4" width="5.66666666666667" customWidth="true"/>
    <col min="5" max="5" width="14.875" customWidth="true"/>
    <col min="6" max="6" width="25" style="51" customWidth="true"/>
    <col min="7" max="7" width="8.5" customWidth="true"/>
    <col min="8" max="8" width="8.66666666666667" customWidth="true"/>
    <col min="9" max="9" width="6.63333333333333" hidden="true" customWidth="true"/>
    <col min="10" max="10" width="7.63333333333333" hidden="true" customWidth="true"/>
    <col min="11" max="11" width="7.13333333333333" customWidth="true"/>
    <col min="12" max="12" width="6.88333333333333" hidden="true" customWidth="true"/>
    <col min="13" max="13" width="7.5" customWidth="true"/>
    <col min="14" max="14" width="11.775"/>
    <col min="15" max="15" width="11.625" customWidth="true"/>
    <col min="16" max="18" width="9.375" customWidth="true"/>
    <col min="19" max="19" width="7.625" customWidth="true"/>
    <col min="20" max="20" width="5.88333333333333" customWidth="true"/>
    <col min="21" max="21" width="16.375" customWidth="true"/>
    <col min="23" max="23" width="11.125" customWidth="true"/>
    <col min="24" max="24" width="8.89166666666667" customWidth="true"/>
    <col min="25" max="26" width="8.89166666666667" style="52" customWidth="true"/>
    <col min="27" max="27" width="13.5" hidden="true" customWidth="true"/>
    <col min="28" max="28" width="11.125" hidden="true" customWidth="true"/>
  </cols>
  <sheetData>
    <row r="1" s="38" customFormat="true" ht="22.5" spans="1:29">
      <c r="A1" s="53"/>
      <c r="B1" s="54" t="s">
        <v>25</v>
      </c>
      <c r="C1" s="53"/>
      <c r="D1" s="55"/>
      <c r="E1" s="53"/>
      <c r="F1" s="73"/>
      <c r="G1" s="53"/>
      <c r="H1" s="53"/>
      <c r="I1" s="53"/>
      <c r="J1" s="53"/>
      <c r="K1" s="53"/>
      <c r="L1" s="53"/>
      <c r="M1" s="53"/>
      <c r="N1" s="53"/>
      <c r="O1" s="53"/>
      <c r="P1" s="53"/>
      <c r="Q1" s="53"/>
      <c r="R1" s="53"/>
      <c r="S1" s="53"/>
      <c r="T1" s="53"/>
      <c r="U1" s="53"/>
      <c r="V1" s="53"/>
      <c r="W1" s="53"/>
      <c r="X1" s="53"/>
      <c r="Y1" s="53"/>
      <c r="Z1" s="53"/>
      <c r="AA1" s="53"/>
      <c r="AB1" s="53"/>
      <c r="AC1" s="53"/>
    </row>
    <row r="2" s="38" customFormat="true" ht="27" spans="1:29">
      <c r="A2" s="56" t="s">
        <v>26</v>
      </c>
      <c r="B2" s="56"/>
      <c r="C2" s="56"/>
      <c r="D2" s="57"/>
      <c r="E2" s="56"/>
      <c r="F2" s="74"/>
      <c r="G2" s="56"/>
      <c r="H2" s="56"/>
      <c r="I2" s="56"/>
      <c r="J2" s="56"/>
      <c r="K2" s="56"/>
      <c r="L2" s="56"/>
      <c r="M2" s="56"/>
      <c r="N2" s="56"/>
      <c r="O2" s="56"/>
      <c r="P2" s="56"/>
      <c r="Q2" s="56"/>
      <c r="R2" s="56"/>
      <c r="S2" s="56"/>
      <c r="T2" s="56"/>
      <c r="U2" s="56"/>
      <c r="V2" s="56"/>
      <c r="W2" s="56"/>
      <c r="X2" s="56"/>
      <c r="Y2" s="56"/>
      <c r="Z2" s="56"/>
      <c r="AA2" s="56"/>
      <c r="AB2" s="56"/>
      <c r="AC2" s="56"/>
    </row>
    <row r="3" s="38" customFormat="true" ht="19" customHeight="true" spans="1:29">
      <c r="A3" s="58"/>
      <c r="B3" s="58"/>
      <c r="C3" s="58"/>
      <c r="D3" s="59"/>
      <c r="E3" s="58"/>
      <c r="F3" s="75"/>
      <c r="G3" s="58"/>
      <c r="H3" s="58"/>
      <c r="I3" s="58"/>
      <c r="J3" s="58"/>
      <c r="K3" s="58"/>
      <c r="L3" s="58"/>
      <c r="M3" s="58"/>
      <c r="N3" s="58"/>
      <c r="O3" s="58"/>
      <c r="P3" s="58"/>
      <c r="Q3" s="58"/>
      <c r="R3" s="58"/>
      <c r="S3" s="58"/>
      <c r="T3" s="58"/>
      <c r="U3" s="58"/>
      <c r="V3" s="58"/>
      <c r="W3" s="58"/>
      <c r="X3" s="58"/>
      <c r="Y3" s="58"/>
      <c r="Z3" s="58"/>
      <c r="AA3" s="58"/>
      <c r="AB3" s="58"/>
      <c r="AC3" s="58"/>
    </row>
    <row r="4" s="39" customFormat="true" spans="1:29">
      <c r="A4" s="60" t="s">
        <v>27</v>
      </c>
      <c r="B4" s="60" t="s">
        <v>28</v>
      </c>
      <c r="C4" s="60" t="s">
        <v>29</v>
      </c>
      <c r="D4" s="61" t="s">
        <v>30</v>
      </c>
      <c r="E4" s="60" t="s">
        <v>31</v>
      </c>
      <c r="F4" s="60" t="s">
        <v>32</v>
      </c>
      <c r="G4" s="76" t="s">
        <v>33</v>
      </c>
      <c r="H4" s="76"/>
      <c r="I4" s="76"/>
      <c r="J4" s="76" t="s">
        <v>34</v>
      </c>
      <c r="K4" s="76"/>
      <c r="L4" s="76"/>
      <c r="M4" s="76"/>
      <c r="N4" s="76" t="s">
        <v>35</v>
      </c>
      <c r="O4" s="76"/>
      <c r="P4" s="76"/>
      <c r="Q4" s="76"/>
      <c r="R4" s="76"/>
      <c r="S4" s="63" t="s">
        <v>36</v>
      </c>
      <c r="T4" s="76" t="s">
        <v>37</v>
      </c>
      <c r="U4" s="76" t="s">
        <v>38</v>
      </c>
      <c r="V4" s="76" t="s">
        <v>39</v>
      </c>
      <c r="W4" s="76" t="s">
        <v>40</v>
      </c>
      <c r="X4" s="76" t="s">
        <v>41</v>
      </c>
      <c r="Y4" s="79" t="s">
        <v>42</v>
      </c>
      <c r="Z4" s="79" t="s">
        <v>43</v>
      </c>
      <c r="AA4" s="76" t="s">
        <v>44</v>
      </c>
      <c r="AB4" s="76" t="s">
        <v>45</v>
      </c>
      <c r="AC4" s="82" t="s">
        <v>46</v>
      </c>
    </row>
    <row r="5" s="39" customFormat="true" ht="51" spans="1:29">
      <c r="A5" s="60"/>
      <c r="B5" s="60"/>
      <c r="C5" s="60"/>
      <c r="D5" s="61"/>
      <c r="E5" s="60"/>
      <c r="F5" s="60"/>
      <c r="G5" s="60" t="s">
        <v>47</v>
      </c>
      <c r="H5" s="60" t="s">
        <v>48</v>
      </c>
      <c r="I5" s="76" t="s">
        <v>49</v>
      </c>
      <c r="J5" s="76" t="s">
        <v>50</v>
      </c>
      <c r="K5" s="60" t="s">
        <v>51</v>
      </c>
      <c r="L5" s="76" t="s">
        <v>52</v>
      </c>
      <c r="M5" s="60" t="s">
        <v>53</v>
      </c>
      <c r="N5" s="76" t="s">
        <v>54</v>
      </c>
      <c r="O5" s="76" t="s">
        <v>55</v>
      </c>
      <c r="P5" s="76" t="s">
        <v>56</v>
      </c>
      <c r="Q5" s="76" t="s">
        <v>57</v>
      </c>
      <c r="R5" s="76" t="s">
        <v>58</v>
      </c>
      <c r="S5" s="63"/>
      <c r="T5" s="76"/>
      <c r="U5" s="76"/>
      <c r="V5" s="76"/>
      <c r="W5" s="76"/>
      <c r="X5" s="76"/>
      <c r="Y5" s="80"/>
      <c r="Z5" s="80"/>
      <c r="AA5" s="76"/>
      <c r="AB5" s="76"/>
      <c r="AC5" s="82"/>
    </row>
    <row r="6" s="40" customFormat="true" spans="1:29">
      <c r="A6" s="62"/>
      <c r="B6" s="63" t="s">
        <v>59</v>
      </c>
      <c r="C6" s="63">
        <f>C11+C62+C91+C121+C165+C189+C218+C282+C258+C7</f>
        <v>198</v>
      </c>
      <c r="D6" s="63">
        <f>D11+D62+D91+D121+D165+D189+D218+D282+D258+D7</f>
        <v>0</v>
      </c>
      <c r="E6" s="63">
        <f t="shared" ref="E6:R6" si="0">E11+E62+E91+E121+E165+E189+E218+E282+E258+E7</f>
        <v>0</v>
      </c>
      <c r="F6" s="63">
        <f t="shared" si="0"/>
        <v>0</v>
      </c>
      <c r="G6" s="62">
        <f t="shared" si="0"/>
        <v>819732.64</v>
      </c>
      <c r="H6" s="62">
        <f t="shared" si="0"/>
        <v>204092.75</v>
      </c>
      <c r="I6" s="62">
        <f t="shared" si="0"/>
        <v>45705.4</v>
      </c>
      <c r="J6" s="62">
        <f t="shared" si="0"/>
        <v>891449.31</v>
      </c>
      <c r="K6" s="62">
        <f t="shared" si="0"/>
        <v>2072</v>
      </c>
      <c r="L6" s="62">
        <f t="shared" si="0"/>
        <v>2030</v>
      </c>
      <c r="M6" s="62">
        <f t="shared" si="0"/>
        <v>59580</v>
      </c>
      <c r="N6" s="62">
        <f t="shared" si="0"/>
        <v>252078.15</v>
      </c>
      <c r="O6" s="62">
        <f t="shared" si="0"/>
        <v>105560.33</v>
      </c>
      <c r="P6" s="62">
        <f t="shared" si="0"/>
        <v>11632.93</v>
      </c>
      <c r="Q6" s="62">
        <f t="shared" si="0"/>
        <v>100097.8</v>
      </c>
      <c r="R6" s="62">
        <f t="shared" si="0"/>
        <v>37629.06</v>
      </c>
      <c r="S6" s="62"/>
      <c r="T6" s="62"/>
      <c r="U6" s="62">
        <f>SUM(U7:U286)</f>
        <v>508100</v>
      </c>
      <c r="V6" s="62">
        <f>SUM(V7:V286)</f>
        <v>495200</v>
      </c>
      <c r="W6" s="62">
        <f t="shared" ref="W6:Z6" si="1">W7+W11+W62+W91+W121+W165+W189+W218+W258+W282</f>
        <v>60518</v>
      </c>
      <c r="X6" s="62">
        <f t="shared" si="1"/>
        <v>56556</v>
      </c>
      <c r="Y6" s="62">
        <f t="shared" si="1"/>
        <v>3500</v>
      </c>
      <c r="Z6" s="62">
        <f t="shared" si="1"/>
        <v>60056</v>
      </c>
      <c r="AA6" s="62"/>
      <c r="AB6" s="62"/>
      <c r="AC6" s="62"/>
    </row>
    <row r="7" s="40" customFormat="true" spans="1:29">
      <c r="A7" s="62"/>
      <c r="B7" s="63" t="s">
        <v>13</v>
      </c>
      <c r="C7" s="63">
        <v>3</v>
      </c>
      <c r="D7" s="63"/>
      <c r="E7" s="63"/>
      <c r="F7" s="63"/>
      <c r="G7" s="62">
        <f t="shared" ref="G7:R7" si="2">SUM(G8:G10)</f>
        <v>6100</v>
      </c>
      <c r="H7" s="62">
        <f t="shared" si="2"/>
        <v>980</v>
      </c>
      <c r="I7" s="62">
        <f t="shared" si="2"/>
        <v>450</v>
      </c>
      <c r="J7" s="62">
        <f t="shared" si="2"/>
        <v>9770</v>
      </c>
      <c r="K7" s="62">
        <f t="shared" si="2"/>
        <v>33</v>
      </c>
      <c r="L7" s="62">
        <f t="shared" si="2"/>
        <v>12</v>
      </c>
      <c r="M7" s="62">
        <f t="shared" si="2"/>
        <v>360</v>
      </c>
      <c r="N7" s="62">
        <f t="shared" si="2"/>
        <v>1430</v>
      </c>
      <c r="O7" s="62">
        <f t="shared" si="2"/>
        <v>1430</v>
      </c>
      <c r="P7" s="62">
        <f t="shared" si="2"/>
        <v>0</v>
      </c>
      <c r="Q7" s="62">
        <f t="shared" si="2"/>
        <v>0</v>
      </c>
      <c r="R7" s="62">
        <f t="shared" si="2"/>
        <v>0</v>
      </c>
      <c r="S7" s="62"/>
      <c r="T7" s="62"/>
      <c r="U7" s="62"/>
      <c r="V7" s="62"/>
      <c r="W7" s="62">
        <f>SUM(W8:W10)</f>
        <v>1430</v>
      </c>
      <c r="X7" s="62">
        <f>SUM(X8:X10)</f>
        <v>1020</v>
      </c>
      <c r="Y7" s="62"/>
      <c r="Z7" s="62">
        <f t="shared" ref="Z7:Z14" si="3">X7+Y7</f>
        <v>1020</v>
      </c>
      <c r="AA7" s="62"/>
      <c r="AB7" s="62"/>
      <c r="AC7" s="62"/>
    </row>
    <row r="8" s="41" customFormat="true" ht="25.5" spans="1:29">
      <c r="A8" s="64"/>
      <c r="B8" s="65"/>
      <c r="C8" s="66" t="s">
        <v>60</v>
      </c>
      <c r="D8" s="65" t="s">
        <v>61</v>
      </c>
      <c r="E8" s="65" t="s">
        <v>62</v>
      </c>
      <c r="F8" s="65" t="s">
        <v>63</v>
      </c>
      <c r="G8" s="64">
        <v>500</v>
      </c>
      <c r="H8" s="64">
        <v>150</v>
      </c>
      <c r="I8" s="64">
        <v>90</v>
      </c>
      <c r="J8" s="64">
        <v>2170</v>
      </c>
      <c r="K8" s="64">
        <v>15</v>
      </c>
      <c r="L8" s="64">
        <f t="shared" ref="L8:L10" si="4">M8/30</f>
        <v>4</v>
      </c>
      <c r="M8" s="64">
        <v>120</v>
      </c>
      <c r="N8" s="64">
        <v>240</v>
      </c>
      <c r="O8" s="64">
        <v>240</v>
      </c>
      <c r="P8" s="64"/>
      <c r="Q8" s="64"/>
      <c r="R8" s="64"/>
      <c r="S8" s="64">
        <f>S12</f>
        <v>0.1946</v>
      </c>
      <c r="T8" s="64">
        <f t="shared" ref="T8:T10" si="5">IF(D8="扶持",0.4,(IF(D8="新建",1,IF(D8="改建",0.45,IF(D8="扩建",0.6,IF(D8="配建",0.4,0))))))</f>
        <v>0.6</v>
      </c>
      <c r="U8" s="64">
        <f t="shared" ref="U8:U10" si="6">IF(L8&gt;=12,3200,IF(L8&gt;=9,2500,IF(L8&gt;=6,1800,1200)))</f>
        <v>1200</v>
      </c>
      <c r="V8" s="64">
        <f t="shared" ref="V8:V10" si="7">ROUND(MIN(G8,U8),0)</f>
        <v>500</v>
      </c>
      <c r="W8" s="64">
        <f t="shared" ref="W8:W10" si="8">O8</f>
        <v>240</v>
      </c>
      <c r="X8" s="64">
        <f t="shared" ref="X8:X10" si="9">MIN(W8,480)</f>
        <v>240</v>
      </c>
      <c r="Y8" s="64"/>
      <c r="Z8" s="64">
        <f t="shared" si="3"/>
        <v>240</v>
      </c>
      <c r="AA8" s="81">
        <v>44621</v>
      </c>
      <c r="AB8" s="81">
        <v>44743</v>
      </c>
      <c r="AC8" s="64"/>
    </row>
    <row r="9" s="42" customFormat="true" ht="25.5" spans="1:29">
      <c r="A9" s="67">
        <v>2</v>
      </c>
      <c r="B9" s="68"/>
      <c r="C9" s="69" t="s">
        <v>64</v>
      </c>
      <c r="D9" s="68" t="s">
        <v>65</v>
      </c>
      <c r="E9" s="68" t="s">
        <v>62</v>
      </c>
      <c r="F9" s="68" t="s">
        <v>66</v>
      </c>
      <c r="G9" s="67">
        <v>3500</v>
      </c>
      <c r="H9" s="67">
        <v>200</v>
      </c>
      <c r="I9" s="67">
        <v>100</v>
      </c>
      <c r="J9" s="67">
        <v>5800</v>
      </c>
      <c r="K9" s="67">
        <v>12</v>
      </c>
      <c r="L9" s="64">
        <f t="shared" si="4"/>
        <v>2</v>
      </c>
      <c r="M9" s="67">
        <v>60</v>
      </c>
      <c r="N9" s="67">
        <f>SUM(O9:R9)</f>
        <v>300</v>
      </c>
      <c r="O9" s="67">
        <v>300</v>
      </c>
      <c r="P9" s="67"/>
      <c r="Q9" s="67"/>
      <c r="R9" s="67"/>
      <c r="S9" s="64">
        <f>S12</f>
        <v>0.1946</v>
      </c>
      <c r="T9" s="64">
        <f t="shared" si="5"/>
        <v>0.45</v>
      </c>
      <c r="U9" s="64">
        <f t="shared" si="6"/>
        <v>1200</v>
      </c>
      <c r="V9" s="64">
        <f t="shared" si="7"/>
        <v>1200</v>
      </c>
      <c r="W9" s="64">
        <f t="shared" si="8"/>
        <v>300</v>
      </c>
      <c r="X9" s="64">
        <f t="shared" si="9"/>
        <v>300</v>
      </c>
      <c r="Y9" s="64"/>
      <c r="Z9" s="64">
        <f t="shared" si="3"/>
        <v>300</v>
      </c>
      <c r="AA9" s="67"/>
      <c r="AB9" s="67"/>
      <c r="AC9" s="67"/>
    </row>
    <row r="10" s="42" customFormat="true" ht="25.5" spans="1:29">
      <c r="A10" s="67">
        <v>3</v>
      </c>
      <c r="B10" s="68"/>
      <c r="C10" s="69" t="s">
        <v>67</v>
      </c>
      <c r="D10" s="68" t="s">
        <v>65</v>
      </c>
      <c r="E10" s="68" t="s">
        <v>62</v>
      </c>
      <c r="F10" s="68" t="s">
        <v>68</v>
      </c>
      <c r="G10" s="67">
        <v>2100</v>
      </c>
      <c r="H10" s="67">
        <v>630</v>
      </c>
      <c r="I10" s="67">
        <v>260</v>
      </c>
      <c r="J10" s="67">
        <v>1800</v>
      </c>
      <c r="K10" s="67">
        <v>6</v>
      </c>
      <c r="L10" s="64">
        <f t="shared" si="4"/>
        <v>6</v>
      </c>
      <c r="M10" s="67">
        <v>180</v>
      </c>
      <c r="N10" s="67">
        <f>SUM(O10:R10)</f>
        <v>890</v>
      </c>
      <c r="O10" s="67">
        <v>890</v>
      </c>
      <c r="P10" s="67"/>
      <c r="Q10" s="67"/>
      <c r="R10" s="67"/>
      <c r="S10" s="64">
        <f>S12</f>
        <v>0.1946</v>
      </c>
      <c r="T10" s="64">
        <f t="shared" si="5"/>
        <v>0.45</v>
      </c>
      <c r="U10" s="64">
        <f t="shared" si="6"/>
        <v>1800</v>
      </c>
      <c r="V10" s="64">
        <f t="shared" si="7"/>
        <v>1800</v>
      </c>
      <c r="W10" s="64">
        <f t="shared" si="8"/>
        <v>890</v>
      </c>
      <c r="X10" s="64">
        <f t="shared" si="9"/>
        <v>480</v>
      </c>
      <c r="Y10" s="64"/>
      <c r="Z10" s="64">
        <f t="shared" si="3"/>
        <v>480</v>
      </c>
      <c r="AA10" s="67">
        <v>2022.9</v>
      </c>
      <c r="AB10" s="67">
        <v>2023.7</v>
      </c>
      <c r="AC10" s="67"/>
    </row>
    <row r="11" s="43" customFormat="true" spans="1:29">
      <c r="A11" s="62"/>
      <c r="B11" s="63" t="s">
        <v>14</v>
      </c>
      <c r="C11" s="63">
        <f>C12+C14+C21+C24+C27+C32+C34+C37+C40+C44+C51+C56</f>
        <v>38</v>
      </c>
      <c r="D11" s="70"/>
      <c r="E11" s="63"/>
      <c r="F11" s="63"/>
      <c r="G11" s="62">
        <f t="shared" ref="G11:J11" si="10">G12+G14+G21+G24+G27+G32+G34+G37+G40+G44+G51+G56</f>
        <v>139031.51</v>
      </c>
      <c r="H11" s="62">
        <f t="shared" si="10"/>
        <v>30933.03</v>
      </c>
      <c r="I11" s="62">
        <f t="shared" si="10"/>
        <v>8185.4</v>
      </c>
      <c r="J11" s="62">
        <f t="shared" si="10"/>
        <v>155330.51</v>
      </c>
      <c r="K11" s="62">
        <v>402</v>
      </c>
      <c r="L11" s="62">
        <f t="shared" ref="L11:R11" si="11">L12+L14+L21+L24+L27+L32+L34+L37+L40+L44+L51+L56</f>
        <v>402</v>
      </c>
      <c r="M11" s="62">
        <f t="shared" si="11"/>
        <v>12060</v>
      </c>
      <c r="N11" s="62">
        <f t="shared" si="11"/>
        <v>41398.43</v>
      </c>
      <c r="O11" s="62">
        <f t="shared" si="11"/>
        <v>11202</v>
      </c>
      <c r="P11" s="62">
        <f t="shared" si="11"/>
        <v>5842.93</v>
      </c>
      <c r="Q11" s="62">
        <f t="shared" si="11"/>
        <v>21915.5</v>
      </c>
      <c r="R11" s="62">
        <f t="shared" si="11"/>
        <v>5180</v>
      </c>
      <c r="S11" s="78"/>
      <c r="T11" s="62"/>
      <c r="U11" s="78"/>
      <c r="V11" s="62"/>
      <c r="W11" s="78">
        <f>W12+W14+W21+W24+W27+W32+W34+W37+W40+W44+W51+W56</f>
        <v>9263</v>
      </c>
      <c r="X11" s="62">
        <f>X12+X14+X21+X24+X27+X32+X34+X37+X40+X44+X51+X56</f>
        <v>7488</v>
      </c>
      <c r="Y11" s="62"/>
      <c r="Z11" s="62">
        <f t="shared" si="3"/>
        <v>7488</v>
      </c>
      <c r="AA11" s="62"/>
      <c r="AB11" s="62"/>
      <c r="AC11" s="62"/>
    </row>
    <row r="12" s="42" customFormat="true" spans="1:29">
      <c r="A12" s="64">
        <v>1</v>
      </c>
      <c r="B12" s="71" t="s">
        <v>69</v>
      </c>
      <c r="C12" s="65">
        <v>1</v>
      </c>
      <c r="D12" s="72"/>
      <c r="E12" s="65"/>
      <c r="F12" s="65"/>
      <c r="G12" s="64">
        <f t="shared" ref="G12:J12" si="12">G13</f>
        <v>8244</v>
      </c>
      <c r="H12" s="64">
        <f t="shared" si="12"/>
        <v>5766.53</v>
      </c>
      <c r="I12" s="64">
        <f t="shared" si="12"/>
        <v>396.4</v>
      </c>
      <c r="J12" s="64">
        <f t="shared" si="12"/>
        <v>8244</v>
      </c>
      <c r="K12" s="64">
        <v>12</v>
      </c>
      <c r="L12" s="64">
        <f t="shared" ref="L12:R12" si="13">L13</f>
        <v>12</v>
      </c>
      <c r="M12" s="64">
        <f t="shared" si="13"/>
        <v>360</v>
      </c>
      <c r="N12" s="64">
        <f t="shared" si="13"/>
        <v>6162.93</v>
      </c>
      <c r="O12" s="64">
        <f t="shared" si="13"/>
        <v>500</v>
      </c>
      <c r="P12" s="64">
        <f t="shared" si="13"/>
        <v>5662.93</v>
      </c>
      <c r="Q12" s="64">
        <f t="shared" si="13"/>
        <v>0</v>
      </c>
      <c r="R12" s="64">
        <f t="shared" si="13"/>
        <v>0</v>
      </c>
      <c r="S12" s="64">
        <f>VLOOKUP(B12,[1]补助标准!B:L,7,FALSE)</f>
        <v>0.1946</v>
      </c>
      <c r="T12" s="64"/>
      <c r="U12" s="64"/>
      <c r="V12" s="64"/>
      <c r="W12" s="64">
        <f>W13</f>
        <v>623</v>
      </c>
      <c r="X12" s="64">
        <f>X13</f>
        <v>500</v>
      </c>
      <c r="Y12" s="64"/>
      <c r="Z12" s="82">
        <f t="shared" si="3"/>
        <v>500</v>
      </c>
      <c r="AA12" s="64"/>
      <c r="AB12" s="64"/>
      <c r="AC12" s="64"/>
    </row>
    <row r="13" s="42" customFormat="true" ht="25.5" spans="1:29">
      <c r="A13" s="64">
        <v>1</v>
      </c>
      <c r="B13" s="65" t="s">
        <v>70</v>
      </c>
      <c r="C13" s="66" t="s">
        <v>71</v>
      </c>
      <c r="D13" s="72" t="s">
        <v>72</v>
      </c>
      <c r="E13" s="65" t="s">
        <v>73</v>
      </c>
      <c r="F13" s="65" t="s">
        <v>68</v>
      </c>
      <c r="G13" s="64">
        <v>8244</v>
      </c>
      <c r="H13" s="64">
        <v>5766.53</v>
      </c>
      <c r="I13" s="64">
        <v>396.4</v>
      </c>
      <c r="J13" s="64">
        <v>8244</v>
      </c>
      <c r="K13" s="64">
        <v>12</v>
      </c>
      <c r="L13" s="64">
        <v>12</v>
      </c>
      <c r="M13" s="64">
        <v>360</v>
      </c>
      <c r="N13" s="64">
        <v>6162.93</v>
      </c>
      <c r="O13" s="64">
        <v>500</v>
      </c>
      <c r="P13" s="64">
        <v>5662.93</v>
      </c>
      <c r="Q13" s="64">
        <v>0</v>
      </c>
      <c r="R13" s="64">
        <v>0</v>
      </c>
      <c r="S13" s="64">
        <f>S12</f>
        <v>0.1946</v>
      </c>
      <c r="T13" s="64">
        <f t="shared" ref="T13:T20" si="14">IF(D13="扶持",0.4,(IF(D13="新建",1,IF(D13="改建",0.45,IF(D13="扩建",0.6,IF(D13="配建",0.4,0))))))</f>
        <v>1</v>
      </c>
      <c r="U13" s="64">
        <f t="shared" ref="U13:U20" si="15">IF(L13&gt;=12,3200,IF(L13&gt;=9,2500,IF(L13&gt;=6,1800,1200)))</f>
        <v>3200</v>
      </c>
      <c r="V13" s="64">
        <f t="shared" ref="V13:V20" si="16">ROUND(MIN(G13,U13),0)</f>
        <v>3200</v>
      </c>
      <c r="W13" s="64">
        <f t="shared" ref="W13:W20" si="17">ROUND(S13*V13*T13,0)</f>
        <v>623</v>
      </c>
      <c r="X13" s="64">
        <f t="shared" ref="X13:X20" si="18">MIN(W13,O13)</f>
        <v>500</v>
      </c>
      <c r="Y13" s="64"/>
      <c r="Z13" s="64">
        <f t="shared" si="3"/>
        <v>500</v>
      </c>
      <c r="AA13" s="64">
        <v>2022.08</v>
      </c>
      <c r="AB13" s="64">
        <v>2024.04</v>
      </c>
      <c r="AC13" s="64"/>
    </row>
    <row r="14" s="42" customFormat="true" spans="1:29">
      <c r="A14" s="64">
        <v>1</v>
      </c>
      <c r="B14" s="71" t="s">
        <v>74</v>
      </c>
      <c r="C14" s="65">
        <v>6</v>
      </c>
      <c r="D14" s="72"/>
      <c r="E14" s="65"/>
      <c r="F14" s="65"/>
      <c r="G14" s="64">
        <f t="shared" ref="G14:J14" si="19">SUM(G15:G20)</f>
        <v>29494</v>
      </c>
      <c r="H14" s="64">
        <f t="shared" si="19"/>
        <v>8302</v>
      </c>
      <c r="I14" s="64">
        <f t="shared" si="19"/>
        <v>0</v>
      </c>
      <c r="J14" s="64">
        <f t="shared" si="19"/>
        <v>29494</v>
      </c>
      <c r="K14" s="64">
        <v>69</v>
      </c>
      <c r="L14" s="64">
        <f t="shared" ref="L14:R14" si="20">SUM(L15:L20)</f>
        <v>69</v>
      </c>
      <c r="M14" s="64">
        <f t="shared" si="20"/>
        <v>2070</v>
      </c>
      <c r="N14" s="64">
        <f t="shared" si="20"/>
        <v>8302</v>
      </c>
      <c r="O14" s="64">
        <f t="shared" si="20"/>
        <v>2025</v>
      </c>
      <c r="P14" s="64">
        <f t="shared" si="20"/>
        <v>0</v>
      </c>
      <c r="Q14" s="64">
        <f t="shared" si="20"/>
        <v>9019</v>
      </c>
      <c r="R14" s="64">
        <f t="shared" si="20"/>
        <v>0</v>
      </c>
      <c r="S14" s="64">
        <f>VLOOKUP(B14,[1]补助标准!B:L,7,FALSE)</f>
        <v>0.1946</v>
      </c>
      <c r="T14" s="64"/>
      <c r="U14" s="64"/>
      <c r="V14" s="64"/>
      <c r="W14" s="64">
        <f>SUM(W15:W20)</f>
        <v>1814</v>
      </c>
      <c r="X14" s="64">
        <f>SUM(X15:X20)</f>
        <v>1373</v>
      </c>
      <c r="Y14" s="64"/>
      <c r="Z14" s="82">
        <f t="shared" si="3"/>
        <v>1373</v>
      </c>
      <c r="AA14" s="64"/>
      <c r="AB14" s="64"/>
      <c r="AC14" s="64"/>
    </row>
    <row r="15" s="42" customFormat="true" ht="25.5" spans="1:29">
      <c r="A15" s="64">
        <v>1</v>
      </c>
      <c r="B15" s="65" t="s">
        <v>75</v>
      </c>
      <c r="C15" s="66" t="s">
        <v>76</v>
      </c>
      <c r="D15" s="72" t="s">
        <v>72</v>
      </c>
      <c r="E15" s="65" t="s">
        <v>77</v>
      </c>
      <c r="F15" s="65" t="s">
        <v>78</v>
      </c>
      <c r="G15" s="64">
        <v>6994</v>
      </c>
      <c r="H15" s="64">
        <v>4252</v>
      </c>
      <c r="I15" s="64"/>
      <c r="J15" s="64">
        <v>6994</v>
      </c>
      <c r="K15" s="64">
        <v>12</v>
      </c>
      <c r="L15" s="64">
        <v>12</v>
      </c>
      <c r="M15" s="64">
        <v>360</v>
      </c>
      <c r="N15" s="64">
        <v>4252</v>
      </c>
      <c r="O15" s="64">
        <v>1275</v>
      </c>
      <c r="P15" s="64"/>
      <c r="Q15" s="64">
        <f>I15+J15-O15-P15</f>
        <v>5719</v>
      </c>
      <c r="R15" s="64"/>
      <c r="S15" s="64">
        <f>S14</f>
        <v>0.1946</v>
      </c>
      <c r="T15" s="64">
        <f t="shared" si="14"/>
        <v>1</v>
      </c>
      <c r="U15" s="64">
        <f t="shared" si="15"/>
        <v>3200</v>
      </c>
      <c r="V15" s="64">
        <f t="shared" si="16"/>
        <v>3200</v>
      </c>
      <c r="W15" s="64">
        <f t="shared" si="17"/>
        <v>623</v>
      </c>
      <c r="X15" s="64">
        <f t="shared" si="18"/>
        <v>623</v>
      </c>
      <c r="Y15" s="64"/>
      <c r="Z15" s="64">
        <f t="shared" ref="Z15:Z44" si="21">X15+Y15</f>
        <v>623</v>
      </c>
      <c r="AA15" s="64">
        <v>2022.1</v>
      </c>
      <c r="AB15" s="64">
        <v>2022.12</v>
      </c>
      <c r="AC15" s="64"/>
    </row>
    <row r="16" s="42" customFormat="true" ht="25.5" spans="1:29">
      <c r="A16" s="64">
        <v>1</v>
      </c>
      <c r="B16" s="65" t="s">
        <v>79</v>
      </c>
      <c r="C16" s="66" t="s">
        <v>80</v>
      </c>
      <c r="D16" s="65" t="s">
        <v>81</v>
      </c>
      <c r="E16" s="65"/>
      <c r="F16" s="65" t="s">
        <v>82</v>
      </c>
      <c r="G16" s="64">
        <v>4100</v>
      </c>
      <c r="H16" s="64">
        <v>738</v>
      </c>
      <c r="I16" s="64"/>
      <c r="J16" s="64">
        <v>4100</v>
      </c>
      <c r="K16" s="64">
        <v>12</v>
      </c>
      <c r="L16" s="64">
        <v>12</v>
      </c>
      <c r="M16" s="64">
        <v>360</v>
      </c>
      <c r="N16" s="64">
        <v>738</v>
      </c>
      <c r="O16" s="64">
        <v>150</v>
      </c>
      <c r="P16" s="64"/>
      <c r="Q16" s="64">
        <v>588</v>
      </c>
      <c r="R16" s="64"/>
      <c r="S16" s="64">
        <f>S14</f>
        <v>0.1946</v>
      </c>
      <c r="T16" s="64">
        <f t="shared" si="14"/>
        <v>0.4</v>
      </c>
      <c r="U16" s="64">
        <f t="shared" si="15"/>
        <v>3200</v>
      </c>
      <c r="V16" s="64">
        <f t="shared" si="16"/>
        <v>3200</v>
      </c>
      <c r="W16" s="64">
        <f t="shared" si="17"/>
        <v>249</v>
      </c>
      <c r="X16" s="64">
        <f t="shared" si="18"/>
        <v>150</v>
      </c>
      <c r="Y16" s="64"/>
      <c r="Z16" s="64">
        <f t="shared" si="21"/>
        <v>150</v>
      </c>
      <c r="AA16" s="64">
        <v>2022.05</v>
      </c>
      <c r="AB16" s="64">
        <v>2022.12</v>
      </c>
      <c r="AC16" s="64"/>
    </row>
    <row r="17" s="42" customFormat="true" ht="25.5" spans="1:29">
      <c r="A17" s="64">
        <v>2</v>
      </c>
      <c r="B17" s="65" t="s">
        <v>75</v>
      </c>
      <c r="C17" s="66" t="s">
        <v>83</v>
      </c>
      <c r="D17" s="65" t="s">
        <v>81</v>
      </c>
      <c r="E17" s="65"/>
      <c r="F17" s="65" t="s">
        <v>84</v>
      </c>
      <c r="G17" s="64">
        <v>3200</v>
      </c>
      <c r="H17" s="64">
        <v>576</v>
      </c>
      <c r="I17" s="64"/>
      <c r="J17" s="64">
        <v>3200</v>
      </c>
      <c r="K17" s="64">
        <v>9</v>
      </c>
      <c r="L17" s="64">
        <v>9</v>
      </c>
      <c r="M17" s="64">
        <v>270</v>
      </c>
      <c r="N17" s="64">
        <v>576</v>
      </c>
      <c r="O17" s="64">
        <v>150</v>
      </c>
      <c r="P17" s="64"/>
      <c r="Q17" s="64">
        <v>426</v>
      </c>
      <c r="R17" s="64"/>
      <c r="S17" s="64">
        <f>S14</f>
        <v>0.1946</v>
      </c>
      <c r="T17" s="64">
        <f t="shared" si="14"/>
        <v>0.4</v>
      </c>
      <c r="U17" s="64">
        <f t="shared" si="15"/>
        <v>2500</v>
      </c>
      <c r="V17" s="64">
        <f t="shared" si="16"/>
        <v>2500</v>
      </c>
      <c r="W17" s="64">
        <f t="shared" si="17"/>
        <v>195</v>
      </c>
      <c r="X17" s="64">
        <f t="shared" si="18"/>
        <v>150</v>
      </c>
      <c r="Y17" s="64"/>
      <c r="Z17" s="64">
        <f t="shared" si="21"/>
        <v>150</v>
      </c>
      <c r="AA17" s="64">
        <v>2022.06</v>
      </c>
      <c r="AB17" s="64">
        <v>2022.12</v>
      </c>
      <c r="AC17" s="64"/>
    </row>
    <row r="18" s="42" customFormat="true" ht="25.5" spans="1:29">
      <c r="A18" s="64">
        <v>3</v>
      </c>
      <c r="B18" s="65" t="s">
        <v>85</v>
      </c>
      <c r="C18" s="66" t="s">
        <v>86</v>
      </c>
      <c r="D18" s="65" t="s">
        <v>81</v>
      </c>
      <c r="E18" s="65"/>
      <c r="F18" s="65" t="s">
        <v>87</v>
      </c>
      <c r="G18" s="64">
        <v>6400</v>
      </c>
      <c r="H18" s="64">
        <v>1152</v>
      </c>
      <c r="I18" s="64"/>
      <c r="J18" s="64">
        <v>6400</v>
      </c>
      <c r="K18" s="64">
        <v>12</v>
      </c>
      <c r="L18" s="64">
        <v>12</v>
      </c>
      <c r="M18" s="64">
        <v>360</v>
      </c>
      <c r="N18" s="64">
        <v>1152</v>
      </c>
      <c r="O18" s="64">
        <v>150</v>
      </c>
      <c r="P18" s="64"/>
      <c r="Q18" s="64">
        <v>1002</v>
      </c>
      <c r="R18" s="64"/>
      <c r="S18" s="64">
        <f>S14</f>
        <v>0.1946</v>
      </c>
      <c r="T18" s="64">
        <f t="shared" si="14"/>
        <v>0.4</v>
      </c>
      <c r="U18" s="64">
        <f t="shared" si="15"/>
        <v>3200</v>
      </c>
      <c r="V18" s="64">
        <f t="shared" si="16"/>
        <v>3200</v>
      </c>
      <c r="W18" s="64">
        <f t="shared" si="17"/>
        <v>249</v>
      </c>
      <c r="X18" s="64">
        <f t="shared" si="18"/>
        <v>150</v>
      </c>
      <c r="Y18" s="64"/>
      <c r="Z18" s="64">
        <f t="shared" si="21"/>
        <v>150</v>
      </c>
      <c r="AA18" s="64">
        <v>2022.06</v>
      </c>
      <c r="AB18" s="64">
        <v>2022.12</v>
      </c>
      <c r="AC18" s="64"/>
    </row>
    <row r="19" s="42" customFormat="true" ht="38.25" spans="1:29">
      <c r="A19" s="64">
        <v>4</v>
      </c>
      <c r="B19" s="65" t="s">
        <v>88</v>
      </c>
      <c r="C19" s="66" t="s">
        <v>89</v>
      </c>
      <c r="D19" s="65" t="s">
        <v>81</v>
      </c>
      <c r="E19" s="65"/>
      <c r="F19" s="65" t="s">
        <v>90</v>
      </c>
      <c r="G19" s="64">
        <v>3900</v>
      </c>
      <c r="H19" s="64">
        <v>702</v>
      </c>
      <c r="I19" s="64"/>
      <c r="J19" s="64">
        <v>3900</v>
      </c>
      <c r="K19" s="64">
        <v>12</v>
      </c>
      <c r="L19" s="64">
        <v>12</v>
      </c>
      <c r="M19" s="64">
        <v>360</v>
      </c>
      <c r="N19" s="64">
        <v>702</v>
      </c>
      <c r="O19" s="64">
        <v>150</v>
      </c>
      <c r="P19" s="64"/>
      <c r="Q19" s="64">
        <v>552</v>
      </c>
      <c r="R19" s="64"/>
      <c r="S19" s="64">
        <f>S14</f>
        <v>0.1946</v>
      </c>
      <c r="T19" s="64">
        <f t="shared" si="14"/>
        <v>0.4</v>
      </c>
      <c r="U19" s="64">
        <f t="shared" si="15"/>
        <v>3200</v>
      </c>
      <c r="V19" s="64">
        <f t="shared" si="16"/>
        <v>3200</v>
      </c>
      <c r="W19" s="64">
        <f t="shared" si="17"/>
        <v>249</v>
      </c>
      <c r="X19" s="64">
        <f t="shared" si="18"/>
        <v>150</v>
      </c>
      <c r="Y19" s="64"/>
      <c r="Z19" s="64">
        <f t="shared" si="21"/>
        <v>150</v>
      </c>
      <c r="AA19" s="64">
        <v>2022.06</v>
      </c>
      <c r="AB19" s="64">
        <v>2022.12</v>
      </c>
      <c r="AC19" s="64"/>
    </row>
    <row r="20" s="42" customFormat="true" ht="38.25" spans="1:29">
      <c r="A20" s="64">
        <v>5</v>
      </c>
      <c r="B20" s="65" t="s">
        <v>91</v>
      </c>
      <c r="C20" s="66" t="s">
        <v>92</v>
      </c>
      <c r="D20" s="65" t="s">
        <v>81</v>
      </c>
      <c r="E20" s="65"/>
      <c r="F20" s="65" t="s">
        <v>93</v>
      </c>
      <c r="G20" s="64">
        <v>4900</v>
      </c>
      <c r="H20" s="64">
        <v>882</v>
      </c>
      <c r="I20" s="64"/>
      <c r="J20" s="64">
        <v>4900</v>
      </c>
      <c r="K20" s="64">
        <v>12</v>
      </c>
      <c r="L20" s="64">
        <v>12</v>
      </c>
      <c r="M20" s="64">
        <v>360</v>
      </c>
      <c r="N20" s="64">
        <v>882</v>
      </c>
      <c r="O20" s="64">
        <v>150</v>
      </c>
      <c r="P20" s="64"/>
      <c r="Q20" s="64">
        <v>732</v>
      </c>
      <c r="R20" s="64"/>
      <c r="S20" s="64">
        <f>S14</f>
        <v>0.1946</v>
      </c>
      <c r="T20" s="64">
        <f t="shared" si="14"/>
        <v>0.4</v>
      </c>
      <c r="U20" s="64">
        <f t="shared" si="15"/>
        <v>3200</v>
      </c>
      <c r="V20" s="64">
        <f t="shared" si="16"/>
        <v>3200</v>
      </c>
      <c r="W20" s="64">
        <f t="shared" si="17"/>
        <v>249</v>
      </c>
      <c r="X20" s="64">
        <f t="shared" si="18"/>
        <v>150</v>
      </c>
      <c r="Y20" s="64"/>
      <c r="Z20" s="64">
        <f t="shared" si="21"/>
        <v>150</v>
      </c>
      <c r="AA20" s="64">
        <v>2022.06</v>
      </c>
      <c r="AB20" s="64">
        <v>2022.12</v>
      </c>
      <c r="AC20" s="64"/>
    </row>
    <row r="21" s="42" customFormat="true" spans="1:29">
      <c r="A21" s="64">
        <v>1</v>
      </c>
      <c r="B21" s="71" t="s">
        <v>94</v>
      </c>
      <c r="C21" s="65">
        <v>2</v>
      </c>
      <c r="D21" s="72"/>
      <c r="E21" s="65"/>
      <c r="F21" s="65"/>
      <c r="G21" s="64">
        <f t="shared" ref="G21:J21" si="22">G22+G23</f>
        <v>9343</v>
      </c>
      <c r="H21" s="64">
        <f t="shared" si="22"/>
        <v>4739</v>
      </c>
      <c r="I21" s="64">
        <f t="shared" si="22"/>
        <v>950</v>
      </c>
      <c r="J21" s="64">
        <f t="shared" si="22"/>
        <v>8968</v>
      </c>
      <c r="K21" s="64">
        <v>30</v>
      </c>
      <c r="L21" s="64">
        <f t="shared" ref="L21:R21" si="23">L22+L23</f>
        <v>30</v>
      </c>
      <c r="M21" s="64">
        <f t="shared" si="23"/>
        <v>900</v>
      </c>
      <c r="N21" s="64">
        <f t="shared" si="23"/>
        <v>7969</v>
      </c>
      <c r="O21" s="64">
        <f t="shared" si="23"/>
        <v>800</v>
      </c>
      <c r="P21" s="64">
        <f t="shared" si="23"/>
        <v>80</v>
      </c>
      <c r="Q21" s="64">
        <f t="shared" si="23"/>
        <v>7089</v>
      </c>
      <c r="R21" s="64">
        <f t="shared" si="23"/>
        <v>0</v>
      </c>
      <c r="S21" s="64">
        <f>VLOOKUP(B21,[1]补助标准!B:L,7,FALSE)</f>
        <v>0.1946</v>
      </c>
      <c r="T21" s="64"/>
      <c r="U21" s="64"/>
      <c r="V21" s="64"/>
      <c r="W21" s="64">
        <f>SUM(W22:W23)</f>
        <v>821</v>
      </c>
      <c r="X21" s="64">
        <f>SUM(X22:X23)</f>
        <v>698</v>
      </c>
      <c r="Y21" s="64"/>
      <c r="Z21" s="82">
        <f t="shared" si="21"/>
        <v>698</v>
      </c>
      <c r="AA21" s="64"/>
      <c r="AB21" s="64"/>
      <c r="AC21" s="64"/>
    </row>
    <row r="22" s="42" customFormat="true" ht="89.25" spans="1:29">
      <c r="A22" s="64">
        <v>1</v>
      </c>
      <c r="B22" s="65" t="s">
        <v>95</v>
      </c>
      <c r="C22" s="66" t="s">
        <v>96</v>
      </c>
      <c r="D22" s="72" t="s">
        <v>72</v>
      </c>
      <c r="E22" s="65" t="s">
        <v>97</v>
      </c>
      <c r="F22" s="65" t="s">
        <v>98</v>
      </c>
      <c r="G22" s="64">
        <v>6794</v>
      </c>
      <c r="H22" s="64">
        <v>4139</v>
      </c>
      <c r="I22" s="64">
        <v>650</v>
      </c>
      <c r="J22" s="64">
        <v>6419</v>
      </c>
      <c r="K22" s="64">
        <v>18</v>
      </c>
      <c r="L22" s="64">
        <v>18</v>
      </c>
      <c r="M22" s="64">
        <v>540</v>
      </c>
      <c r="N22" s="64">
        <f>O22+P22+Q22</f>
        <v>7069</v>
      </c>
      <c r="O22" s="64">
        <v>500</v>
      </c>
      <c r="P22" s="64">
        <v>50</v>
      </c>
      <c r="Q22" s="64">
        <f>I22+J22-O22-P22</f>
        <v>6519</v>
      </c>
      <c r="R22" s="64"/>
      <c r="S22" s="64">
        <f>S21</f>
        <v>0.1946</v>
      </c>
      <c r="T22" s="64">
        <f t="shared" ref="T22:T26" si="24">IF(D22="扶持",0.4,(IF(D22="新建",1,IF(D22="改建",0.45,IF(D22="扩建",0.6,IF(D22="配建",0.4,0))))))</f>
        <v>1</v>
      </c>
      <c r="U22" s="64">
        <f t="shared" ref="U22:U26" si="25">IF(L22&gt;=12,3200,IF(L22&gt;=9,2500,IF(L22&gt;=6,1800,1200)))</f>
        <v>3200</v>
      </c>
      <c r="V22" s="64">
        <f t="shared" ref="V22:V26" si="26">ROUND(MIN(G22,U22),0)</f>
        <v>3200</v>
      </c>
      <c r="W22" s="64">
        <f t="shared" ref="W22:W26" si="27">ROUND(S22*V22*T22,0)</f>
        <v>623</v>
      </c>
      <c r="X22" s="64">
        <f t="shared" ref="X22:X26" si="28">MIN(W22,O22)</f>
        <v>500</v>
      </c>
      <c r="Y22" s="64"/>
      <c r="Z22" s="64">
        <f t="shared" si="21"/>
        <v>500</v>
      </c>
      <c r="AA22" s="64">
        <v>2022.3</v>
      </c>
      <c r="AB22" s="64">
        <v>2023.8</v>
      </c>
      <c r="AC22" s="64"/>
    </row>
    <row r="23" s="42" customFormat="true" ht="25.5" spans="1:29">
      <c r="A23" s="64">
        <v>1</v>
      </c>
      <c r="B23" s="65" t="s">
        <v>95</v>
      </c>
      <c r="C23" s="66" t="s">
        <v>99</v>
      </c>
      <c r="D23" s="65" t="s">
        <v>81</v>
      </c>
      <c r="E23" s="65" t="s">
        <v>100</v>
      </c>
      <c r="F23" s="65" t="s">
        <v>101</v>
      </c>
      <c r="G23" s="64">
        <v>2549</v>
      </c>
      <c r="H23" s="64">
        <v>600</v>
      </c>
      <c r="I23" s="64">
        <v>300</v>
      </c>
      <c r="J23" s="64">
        <v>2549</v>
      </c>
      <c r="K23" s="64">
        <v>12</v>
      </c>
      <c r="L23" s="64">
        <v>12</v>
      </c>
      <c r="M23" s="64">
        <v>360</v>
      </c>
      <c r="N23" s="64">
        <f>O23+P23+Q23</f>
        <v>900</v>
      </c>
      <c r="O23" s="64">
        <v>300</v>
      </c>
      <c r="P23" s="64">
        <v>30</v>
      </c>
      <c r="Q23" s="64">
        <v>570</v>
      </c>
      <c r="R23" s="64"/>
      <c r="S23" s="64">
        <f>S21</f>
        <v>0.1946</v>
      </c>
      <c r="T23" s="64">
        <f t="shared" si="24"/>
        <v>0.4</v>
      </c>
      <c r="U23" s="64">
        <f t="shared" si="25"/>
        <v>3200</v>
      </c>
      <c r="V23" s="64">
        <f t="shared" si="26"/>
        <v>2549</v>
      </c>
      <c r="W23" s="64">
        <f t="shared" si="27"/>
        <v>198</v>
      </c>
      <c r="X23" s="64">
        <f t="shared" si="28"/>
        <v>198</v>
      </c>
      <c r="Y23" s="64"/>
      <c r="Z23" s="64">
        <f t="shared" si="21"/>
        <v>198</v>
      </c>
      <c r="AA23" s="64">
        <v>2022.7</v>
      </c>
      <c r="AB23" s="64">
        <v>2022.9</v>
      </c>
      <c r="AC23" s="64"/>
    </row>
    <row r="24" s="42" customFormat="true" spans="1:29">
      <c r="A24" s="64">
        <v>1</v>
      </c>
      <c r="B24" s="71" t="s">
        <v>102</v>
      </c>
      <c r="C24" s="65">
        <v>2</v>
      </c>
      <c r="D24" s="65"/>
      <c r="E24" s="65"/>
      <c r="F24" s="65"/>
      <c r="G24" s="64">
        <f t="shared" ref="G24:J24" si="29">G25+G26</f>
        <v>3600</v>
      </c>
      <c r="H24" s="64">
        <f t="shared" si="29"/>
        <v>450</v>
      </c>
      <c r="I24" s="64"/>
      <c r="J24" s="64">
        <f t="shared" si="29"/>
        <v>20274</v>
      </c>
      <c r="K24" s="64">
        <v>6</v>
      </c>
      <c r="L24" s="64">
        <f t="shared" ref="L24:Q24" si="30">L25+L26</f>
        <v>6</v>
      </c>
      <c r="M24" s="64">
        <f t="shared" si="30"/>
        <v>180</v>
      </c>
      <c r="N24" s="64">
        <f t="shared" si="30"/>
        <v>450</v>
      </c>
      <c r="O24" s="64">
        <f t="shared" si="30"/>
        <v>362</v>
      </c>
      <c r="P24" s="64">
        <f t="shared" si="30"/>
        <v>0</v>
      </c>
      <c r="Q24" s="64">
        <f t="shared" si="30"/>
        <v>88</v>
      </c>
      <c r="R24" s="64"/>
      <c r="S24" s="64">
        <f>VLOOKUP(B24,[1]补助标准!B:L,7,FALSE)</f>
        <v>0.1946</v>
      </c>
      <c r="T24" s="64"/>
      <c r="U24" s="64"/>
      <c r="V24" s="64"/>
      <c r="W24" s="64">
        <f>SUM(W25:W26)</f>
        <v>210</v>
      </c>
      <c r="X24" s="64">
        <f>SUM(X25:X26)</f>
        <v>210</v>
      </c>
      <c r="Y24" s="64"/>
      <c r="Z24" s="82">
        <f t="shared" si="21"/>
        <v>210</v>
      </c>
      <c r="AA24" s="83"/>
      <c r="AB24" s="83"/>
      <c r="AC24" s="64"/>
    </row>
    <row r="25" s="42" customFormat="true" spans="1:29">
      <c r="A25" s="64">
        <v>1</v>
      </c>
      <c r="B25" s="65" t="s">
        <v>103</v>
      </c>
      <c r="C25" s="66" t="s">
        <v>104</v>
      </c>
      <c r="D25" s="65" t="s">
        <v>65</v>
      </c>
      <c r="E25" s="65"/>
      <c r="F25" s="77" t="s">
        <v>105</v>
      </c>
      <c r="G25" s="64">
        <v>2400</v>
      </c>
      <c r="H25" s="64">
        <v>250</v>
      </c>
      <c r="I25" s="64"/>
      <c r="J25" s="64">
        <v>14774</v>
      </c>
      <c r="K25" s="64">
        <v>3</v>
      </c>
      <c r="L25" s="64">
        <f>M25/30</f>
        <v>3</v>
      </c>
      <c r="M25" s="64">
        <v>90</v>
      </c>
      <c r="N25" s="64">
        <f>SUM(O25:R25)</f>
        <v>250</v>
      </c>
      <c r="O25" s="64">
        <v>200</v>
      </c>
      <c r="P25" s="64"/>
      <c r="Q25" s="64">
        <v>50</v>
      </c>
      <c r="R25" s="64"/>
      <c r="S25" s="64">
        <f>S24</f>
        <v>0.1946</v>
      </c>
      <c r="T25" s="64">
        <f t="shared" si="24"/>
        <v>0.45</v>
      </c>
      <c r="U25" s="64">
        <f t="shared" si="25"/>
        <v>1200</v>
      </c>
      <c r="V25" s="64">
        <f t="shared" si="26"/>
        <v>1200</v>
      </c>
      <c r="W25" s="64">
        <f t="shared" si="27"/>
        <v>105</v>
      </c>
      <c r="X25" s="64">
        <f t="shared" si="28"/>
        <v>105</v>
      </c>
      <c r="Y25" s="64"/>
      <c r="Z25" s="64">
        <f t="shared" si="21"/>
        <v>105</v>
      </c>
      <c r="AA25" s="83">
        <v>44713</v>
      </c>
      <c r="AB25" s="83">
        <v>45078</v>
      </c>
      <c r="AC25" s="64"/>
    </row>
    <row r="26" s="42" customFormat="true" ht="25.5" spans="1:29">
      <c r="A26" s="64">
        <v>2</v>
      </c>
      <c r="B26" s="65" t="s">
        <v>103</v>
      </c>
      <c r="C26" s="66" t="s">
        <v>106</v>
      </c>
      <c r="D26" s="65" t="s">
        <v>65</v>
      </c>
      <c r="E26" s="65"/>
      <c r="F26" s="77" t="s">
        <v>107</v>
      </c>
      <c r="G26" s="64">
        <v>1200</v>
      </c>
      <c r="H26" s="64">
        <v>200</v>
      </c>
      <c r="I26" s="64"/>
      <c r="J26" s="64">
        <v>5500</v>
      </c>
      <c r="K26" s="64">
        <v>3</v>
      </c>
      <c r="L26" s="64">
        <f>M26/30</f>
        <v>3</v>
      </c>
      <c r="M26" s="64">
        <v>90</v>
      </c>
      <c r="N26" s="64">
        <f>SUM(O26:R26)</f>
        <v>200</v>
      </c>
      <c r="O26" s="64">
        <v>162</v>
      </c>
      <c r="P26" s="64"/>
      <c r="Q26" s="64">
        <v>38</v>
      </c>
      <c r="R26" s="64"/>
      <c r="S26" s="64">
        <f>S24</f>
        <v>0.1946</v>
      </c>
      <c r="T26" s="64">
        <f t="shared" si="24"/>
        <v>0.45</v>
      </c>
      <c r="U26" s="64">
        <f t="shared" si="25"/>
        <v>1200</v>
      </c>
      <c r="V26" s="64">
        <f t="shared" si="26"/>
        <v>1200</v>
      </c>
      <c r="W26" s="64">
        <f t="shared" si="27"/>
        <v>105</v>
      </c>
      <c r="X26" s="64">
        <f t="shared" si="28"/>
        <v>105</v>
      </c>
      <c r="Y26" s="64"/>
      <c r="Z26" s="64">
        <f t="shared" si="21"/>
        <v>105</v>
      </c>
      <c r="AA26" s="83">
        <v>44835</v>
      </c>
      <c r="AB26" s="83">
        <v>45139</v>
      </c>
      <c r="AC26" s="64"/>
    </row>
    <row r="27" s="42" customFormat="true" spans="1:29">
      <c r="A27" s="64">
        <v>1</v>
      </c>
      <c r="B27" s="71" t="s">
        <v>108</v>
      </c>
      <c r="C27" s="65">
        <v>4</v>
      </c>
      <c r="D27" s="65"/>
      <c r="E27" s="65"/>
      <c r="F27" s="65"/>
      <c r="G27" s="64">
        <f t="shared" ref="G27:J27" si="31">SUM(G28:G31)</f>
        <v>11243</v>
      </c>
      <c r="H27" s="64">
        <f t="shared" si="31"/>
        <v>3037</v>
      </c>
      <c r="I27" s="64">
        <f t="shared" si="31"/>
        <v>643</v>
      </c>
      <c r="J27" s="64">
        <f t="shared" si="31"/>
        <v>11243</v>
      </c>
      <c r="K27" s="64">
        <v>39</v>
      </c>
      <c r="L27" s="64">
        <f t="shared" ref="L27:R27" si="32">SUM(L28:L31)</f>
        <v>39</v>
      </c>
      <c r="M27" s="64">
        <f t="shared" si="32"/>
        <v>1170</v>
      </c>
      <c r="N27" s="64">
        <f t="shared" si="32"/>
        <v>3680</v>
      </c>
      <c r="O27" s="64">
        <f t="shared" si="32"/>
        <v>2138</v>
      </c>
      <c r="P27" s="64">
        <f t="shared" si="32"/>
        <v>0</v>
      </c>
      <c r="Q27" s="64">
        <f t="shared" si="32"/>
        <v>0</v>
      </c>
      <c r="R27" s="64">
        <f t="shared" si="32"/>
        <v>1542</v>
      </c>
      <c r="S27" s="64">
        <f>VLOOKUP(B27,[1]补助标准!B:L,7,FALSE)</f>
        <v>0.1946</v>
      </c>
      <c r="T27" s="64"/>
      <c r="U27" s="64"/>
      <c r="V27" s="64"/>
      <c r="W27" s="64">
        <f>SUM(W28:W31)</f>
        <v>802</v>
      </c>
      <c r="X27" s="64">
        <f>SUM(X28:X31)</f>
        <v>802</v>
      </c>
      <c r="Y27" s="64"/>
      <c r="Z27" s="82">
        <f t="shared" si="21"/>
        <v>802</v>
      </c>
      <c r="AA27" s="64"/>
      <c r="AB27" s="64"/>
      <c r="AC27" s="64"/>
    </row>
    <row r="28" s="42" customFormat="true" ht="25.5" spans="1:29">
      <c r="A28" s="64">
        <v>1</v>
      </c>
      <c r="B28" s="65" t="s">
        <v>109</v>
      </c>
      <c r="C28" s="66" t="s">
        <v>110</v>
      </c>
      <c r="D28" s="65" t="s">
        <v>81</v>
      </c>
      <c r="E28" s="65"/>
      <c r="F28" s="65" t="s">
        <v>111</v>
      </c>
      <c r="G28" s="64">
        <v>3200</v>
      </c>
      <c r="H28" s="64">
        <v>400</v>
      </c>
      <c r="I28" s="64">
        <v>0</v>
      </c>
      <c r="J28" s="64">
        <v>3200</v>
      </c>
      <c r="K28" s="64">
        <v>12</v>
      </c>
      <c r="L28" s="64">
        <v>12</v>
      </c>
      <c r="M28" s="64">
        <v>360</v>
      </c>
      <c r="N28" s="64">
        <v>400</v>
      </c>
      <c r="O28" s="64">
        <v>400</v>
      </c>
      <c r="P28" s="64">
        <v>0</v>
      </c>
      <c r="Q28" s="64">
        <v>0</v>
      </c>
      <c r="R28" s="64">
        <v>0</v>
      </c>
      <c r="S28" s="64">
        <f>S27</f>
        <v>0.1946</v>
      </c>
      <c r="T28" s="64">
        <f t="shared" ref="T28:T31" si="33">IF(D28="扶持",0.4,(IF(D28="新建",1,IF(D28="改建",0.45,IF(D28="扩建",0.6,IF(D28="配建",0.4,0))))))</f>
        <v>0.4</v>
      </c>
      <c r="U28" s="64">
        <f t="shared" ref="U28:U31" si="34">IF(L28&gt;=12,3200,IF(L28&gt;=9,2500,IF(L28&gt;=6,1800,1200)))</f>
        <v>3200</v>
      </c>
      <c r="V28" s="64">
        <f t="shared" ref="V28:V31" si="35">ROUND(MIN(G28,U28),0)</f>
        <v>3200</v>
      </c>
      <c r="W28" s="64">
        <f t="shared" ref="W28:W31" si="36">ROUND(S28*V28*T28,0)</f>
        <v>249</v>
      </c>
      <c r="X28" s="64">
        <f t="shared" ref="X28:X31" si="37">MIN(W28,O28)</f>
        <v>249</v>
      </c>
      <c r="Y28" s="64"/>
      <c r="Z28" s="64">
        <f t="shared" si="21"/>
        <v>249</v>
      </c>
      <c r="AA28" s="83">
        <v>44805</v>
      </c>
      <c r="AB28" s="83">
        <v>45139</v>
      </c>
      <c r="AC28" s="64"/>
    </row>
    <row r="29" s="42" customFormat="true" ht="38.25" spans="1:29">
      <c r="A29" s="64">
        <v>1</v>
      </c>
      <c r="B29" s="65" t="s">
        <v>112</v>
      </c>
      <c r="C29" s="66" t="s">
        <v>113</v>
      </c>
      <c r="D29" s="65" t="s">
        <v>114</v>
      </c>
      <c r="E29" s="65" t="s">
        <v>115</v>
      </c>
      <c r="F29" s="65" t="s">
        <v>111</v>
      </c>
      <c r="G29" s="64">
        <v>4000</v>
      </c>
      <c r="H29" s="64">
        <v>1399</v>
      </c>
      <c r="I29" s="64">
        <v>325</v>
      </c>
      <c r="J29" s="64">
        <v>4000</v>
      </c>
      <c r="K29" s="64">
        <v>12</v>
      </c>
      <c r="L29" s="64">
        <v>12</v>
      </c>
      <c r="M29" s="64">
        <v>360</v>
      </c>
      <c r="N29" s="64">
        <v>1724</v>
      </c>
      <c r="O29" s="64">
        <v>1002</v>
      </c>
      <c r="P29" s="64"/>
      <c r="Q29" s="64"/>
      <c r="R29" s="64">
        <v>722</v>
      </c>
      <c r="S29" s="64">
        <f>S27</f>
        <v>0.1946</v>
      </c>
      <c r="T29" s="64">
        <f t="shared" si="33"/>
        <v>0.4</v>
      </c>
      <c r="U29" s="64">
        <f t="shared" si="34"/>
        <v>3200</v>
      </c>
      <c r="V29" s="64">
        <f t="shared" si="35"/>
        <v>3200</v>
      </c>
      <c r="W29" s="64">
        <f t="shared" si="36"/>
        <v>249</v>
      </c>
      <c r="X29" s="64">
        <f t="shared" si="37"/>
        <v>249</v>
      </c>
      <c r="Y29" s="64"/>
      <c r="Z29" s="64">
        <f t="shared" si="21"/>
        <v>249</v>
      </c>
      <c r="AA29" s="83">
        <v>44743</v>
      </c>
      <c r="AB29" s="83" t="s">
        <v>116</v>
      </c>
      <c r="AC29" s="64"/>
    </row>
    <row r="30" s="42" customFormat="true" ht="38.25" spans="1:29">
      <c r="A30" s="64">
        <v>2</v>
      </c>
      <c r="B30" s="65" t="s">
        <v>117</v>
      </c>
      <c r="C30" s="66" t="s">
        <v>118</v>
      </c>
      <c r="D30" s="65" t="s">
        <v>114</v>
      </c>
      <c r="E30" s="65" t="s">
        <v>119</v>
      </c>
      <c r="F30" s="65" t="s">
        <v>111</v>
      </c>
      <c r="G30" s="64">
        <v>3341</v>
      </c>
      <c r="H30" s="64">
        <v>1064</v>
      </c>
      <c r="I30" s="64">
        <v>279</v>
      </c>
      <c r="J30" s="64">
        <v>3341</v>
      </c>
      <c r="K30" s="64">
        <v>12</v>
      </c>
      <c r="L30" s="64">
        <v>12</v>
      </c>
      <c r="M30" s="64">
        <v>360</v>
      </c>
      <c r="N30" s="64">
        <v>1343</v>
      </c>
      <c r="O30" s="64">
        <v>585</v>
      </c>
      <c r="P30" s="64"/>
      <c r="Q30" s="64"/>
      <c r="R30" s="64">
        <v>758</v>
      </c>
      <c r="S30" s="64">
        <f>S27</f>
        <v>0.1946</v>
      </c>
      <c r="T30" s="64">
        <f t="shared" si="33"/>
        <v>0.4</v>
      </c>
      <c r="U30" s="64">
        <f t="shared" si="34"/>
        <v>3200</v>
      </c>
      <c r="V30" s="64">
        <f t="shared" si="35"/>
        <v>3200</v>
      </c>
      <c r="W30" s="64">
        <f t="shared" si="36"/>
        <v>249</v>
      </c>
      <c r="X30" s="64">
        <f t="shared" si="37"/>
        <v>249</v>
      </c>
      <c r="Y30" s="64"/>
      <c r="Z30" s="64">
        <f t="shared" si="21"/>
        <v>249</v>
      </c>
      <c r="AA30" s="83">
        <v>44743</v>
      </c>
      <c r="AB30" s="83" t="s">
        <v>116</v>
      </c>
      <c r="AC30" s="64"/>
    </row>
    <row r="31" s="42" customFormat="true" ht="38.25" spans="1:29">
      <c r="A31" s="64">
        <v>3</v>
      </c>
      <c r="B31" s="65" t="s">
        <v>112</v>
      </c>
      <c r="C31" s="66" t="s">
        <v>120</v>
      </c>
      <c r="D31" s="65" t="s">
        <v>114</v>
      </c>
      <c r="E31" s="65" t="s">
        <v>119</v>
      </c>
      <c r="F31" s="65" t="s">
        <v>111</v>
      </c>
      <c r="G31" s="64">
        <v>702</v>
      </c>
      <c r="H31" s="64">
        <v>174</v>
      </c>
      <c r="I31" s="64">
        <v>39</v>
      </c>
      <c r="J31" s="64">
        <v>702</v>
      </c>
      <c r="K31" s="64">
        <v>3</v>
      </c>
      <c r="L31" s="64">
        <v>3</v>
      </c>
      <c r="M31" s="64">
        <v>90</v>
      </c>
      <c r="N31" s="64">
        <v>213</v>
      </c>
      <c r="O31" s="64">
        <v>151</v>
      </c>
      <c r="P31" s="64"/>
      <c r="Q31" s="64"/>
      <c r="R31" s="64">
        <v>62</v>
      </c>
      <c r="S31" s="64">
        <f>S27</f>
        <v>0.1946</v>
      </c>
      <c r="T31" s="64">
        <f t="shared" si="33"/>
        <v>0.4</v>
      </c>
      <c r="U31" s="64">
        <f t="shared" si="34"/>
        <v>1200</v>
      </c>
      <c r="V31" s="64">
        <f t="shared" si="35"/>
        <v>702</v>
      </c>
      <c r="W31" s="64">
        <f t="shared" si="36"/>
        <v>55</v>
      </c>
      <c r="X31" s="64">
        <f t="shared" si="37"/>
        <v>55</v>
      </c>
      <c r="Y31" s="64"/>
      <c r="Z31" s="64">
        <f t="shared" si="21"/>
        <v>55</v>
      </c>
      <c r="AA31" s="83">
        <v>44743</v>
      </c>
      <c r="AB31" s="83" t="s">
        <v>116</v>
      </c>
      <c r="AC31" s="64"/>
    </row>
    <row r="32" s="42" customFormat="true" spans="1:29">
      <c r="A32" s="64">
        <v>1</v>
      </c>
      <c r="B32" s="71" t="s">
        <v>121</v>
      </c>
      <c r="C32" s="65">
        <v>1</v>
      </c>
      <c r="D32" s="65"/>
      <c r="E32" s="65"/>
      <c r="F32" s="65"/>
      <c r="G32" s="64">
        <v>3255.1</v>
      </c>
      <c r="H32" s="64">
        <v>631.5</v>
      </c>
      <c r="I32" s="64">
        <v>1166</v>
      </c>
      <c r="J32" s="64">
        <v>3255.1</v>
      </c>
      <c r="K32" s="64">
        <v>9</v>
      </c>
      <c r="L32" s="64">
        <v>9</v>
      </c>
      <c r="M32" s="64">
        <v>270</v>
      </c>
      <c r="N32" s="64">
        <v>1797.5</v>
      </c>
      <c r="O32" s="64">
        <v>600</v>
      </c>
      <c r="P32" s="64"/>
      <c r="Q32" s="64">
        <v>1197.5</v>
      </c>
      <c r="R32" s="64"/>
      <c r="S32" s="64">
        <f>VLOOKUP(B32,[1]补助标准!B:L,7,FALSE)</f>
        <v>0.1946</v>
      </c>
      <c r="T32" s="64"/>
      <c r="U32" s="64"/>
      <c r="V32" s="64"/>
      <c r="W32" s="64">
        <f>W33</f>
        <v>195</v>
      </c>
      <c r="X32" s="64">
        <f>X33</f>
        <v>195</v>
      </c>
      <c r="Y32" s="64"/>
      <c r="Z32" s="82">
        <f t="shared" si="21"/>
        <v>195</v>
      </c>
      <c r="AA32" s="64"/>
      <c r="AB32" s="64"/>
      <c r="AC32" s="64"/>
    </row>
    <row r="33" s="42" customFormat="true" ht="25.5" spans="1:29">
      <c r="A33" s="64">
        <v>1</v>
      </c>
      <c r="B33" s="65" t="s">
        <v>122</v>
      </c>
      <c r="C33" s="66" t="s">
        <v>123</v>
      </c>
      <c r="D33" s="65" t="s">
        <v>81</v>
      </c>
      <c r="E33" s="65" t="s">
        <v>124</v>
      </c>
      <c r="F33" s="65" t="s">
        <v>125</v>
      </c>
      <c r="G33" s="64">
        <v>3255.1</v>
      </c>
      <c r="H33" s="64">
        <v>631.5</v>
      </c>
      <c r="I33" s="64">
        <v>1166</v>
      </c>
      <c r="J33" s="64">
        <v>3255.1</v>
      </c>
      <c r="K33" s="64">
        <v>9</v>
      </c>
      <c r="L33" s="64">
        <v>9</v>
      </c>
      <c r="M33" s="64">
        <v>270</v>
      </c>
      <c r="N33" s="64">
        <v>1797.5</v>
      </c>
      <c r="O33" s="64">
        <v>600</v>
      </c>
      <c r="P33" s="64"/>
      <c r="Q33" s="64">
        <f>N33-O33</f>
        <v>1197.5</v>
      </c>
      <c r="R33" s="64"/>
      <c r="S33" s="64">
        <f t="shared" ref="S33:S38" si="38">S32</f>
        <v>0.1946</v>
      </c>
      <c r="T33" s="64">
        <f t="shared" ref="T33:T36" si="39">IF(D33="扶持",0.4,(IF(D33="新建",1,IF(D33="改建",0.45,IF(D33="扩建",0.6,IF(D33="配建",0.4,0))))))</f>
        <v>0.4</v>
      </c>
      <c r="U33" s="64">
        <f t="shared" ref="U33:U36" si="40">IF(L33&gt;=12,3200,IF(L33&gt;=9,2500,IF(L33&gt;=6,1800,1200)))</f>
        <v>2500</v>
      </c>
      <c r="V33" s="64">
        <f t="shared" ref="V33:V36" si="41">ROUND(MIN(G33,U33),0)</f>
        <v>2500</v>
      </c>
      <c r="W33" s="64">
        <f t="shared" ref="W33:W36" si="42">ROUND(S33*V33*T33,0)</f>
        <v>195</v>
      </c>
      <c r="X33" s="64">
        <f t="shared" ref="X33:X36" si="43">MIN(W33,O33)</f>
        <v>195</v>
      </c>
      <c r="Y33" s="64"/>
      <c r="Z33" s="64">
        <f t="shared" si="21"/>
        <v>195</v>
      </c>
      <c r="AA33" s="83">
        <v>44713</v>
      </c>
      <c r="AB33" s="83">
        <v>44986</v>
      </c>
      <c r="AC33" s="64"/>
    </row>
    <row r="34" s="42" customFormat="true" spans="1:29">
      <c r="A34" s="64">
        <v>1</v>
      </c>
      <c r="B34" s="71" t="s">
        <v>126</v>
      </c>
      <c r="C34" s="65">
        <v>2</v>
      </c>
      <c r="D34" s="65"/>
      <c r="E34" s="65"/>
      <c r="F34" s="65"/>
      <c r="G34" s="64">
        <f t="shared" ref="G34:J34" si="44">G35+G36</f>
        <v>7100</v>
      </c>
      <c r="H34" s="64">
        <f t="shared" si="44"/>
        <v>794</v>
      </c>
      <c r="I34" s="64">
        <f t="shared" si="44"/>
        <v>900</v>
      </c>
      <c r="J34" s="64">
        <f t="shared" si="44"/>
        <v>7100</v>
      </c>
      <c r="K34" s="64">
        <v>24</v>
      </c>
      <c r="L34" s="64">
        <f t="shared" ref="L34:R34" si="45">L35+L36</f>
        <v>24</v>
      </c>
      <c r="M34" s="64">
        <f t="shared" si="45"/>
        <v>720</v>
      </c>
      <c r="N34" s="64">
        <f t="shared" si="45"/>
        <v>1694</v>
      </c>
      <c r="O34" s="64">
        <f t="shared" si="45"/>
        <v>228</v>
      </c>
      <c r="P34" s="64">
        <f t="shared" si="45"/>
        <v>0</v>
      </c>
      <c r="Q34" s="64">
        <f t="shared" si="45"/>
        <v>1466</v>
      </c>
      <c r="R34" s="64">
        <f t="shared" si="45"/>
        <v>0</v>
      </c>
      <c r="S34" s="64">
        <f>VLOOKUP(B34,[1]补助标准!B:L,7,FALSE)</f>
        <v>0.1946</v>
      </c>
      <c r="T34" s="64"/>
      <c r="U34" s="64"/>
      <c r="V34" s="64"/>
      <c r="W34" s="64">
        <f>SUM(W35:W36)</f>
        <v>498</v>
      </c>
      <c r="X34" s="64">
        <f>SUM(X35:X36)</f>
        <v>228</v>
      </c>
      <c r="Y34" s="64"/>
      <c r="Z34" s="82">
        <f t="shared" si="21"/>
        <v>228</v>
      </c>
      <c r="AA34" s="64"/>
      <c r="AB34" s="64"/>
      <c r="AC34" s="64"/>
    </row>
    <row r="35" s="42" customFormat="true" ht="25.5" spans="1:29">
      <c r="A35" s="64">
        <v>1</v>
      </c>
      <c r="B35" s="65" t="s">
        <v>127</v>
      </c>
      <c r="C35" s="66" t="s">
        <v>128</v>
      </c>
      <c r="D35" s="65" t="s">
        <v>81</v>
      </c>
      <c r="E35" s="65" t="s">
        <v>129</v>
      </c>
      <c r="F35" s="65" t="s">
        <v>130</v>
      </c>
      <c r="G35" s="64">
        <v>3600</v>
      </c>
      <c r="H35" s="64">
        <v>398</v>
      </c>
      <c r="I35" s="64">
        <v>450</v>
      </c>
      <c r="J35" s="64">
        <v>3600</v>
      </c>
      <c r="K35" s="64">
        <v>12</v>
      </c>
      <c r="L35" s="64">
        <v>12</v>
      </c>
      <c r="M35" s="64">
        <v>360</v>
      </c>
      <c r="N35" s="64">
        <v>848</v>
      </c>
      <c r="O35" s="64">
        <v>114</v>
      </c>
      <c r="P35" s="64">
        <v>0</v>
      </c>
      <c r="Q35" s="64">
        <v>734</v>
      </c>
      <c r="R35" s="64">
        <v>0</v>
      </c>
      <c r="S35" s="64">
        <f t="shared" si="38"/>
        <v>0.1946</v>
      </c>
      <c r="T35" s="64">
        <f t="shared" si="39"/>
        <v>0.4</v>
      </c>
      <c r="U35" s="64">
        <f t="shared" si="40"/>
        <v>3200</v>
      </c>
      <c r="V35" s="64">
        <f t="shared" si="41"/>
        <v>3200</v>
      </c>
      <c r="W35" s="64">
        <f t="shared" si="42"/>
        <v>249</v>
      </c>
      <c r="X35" s="64">
        <f t="shared" si="43"/>
        <v>114</v>
      </c>
      <c r="Y35" s="64"/>
      <c r="Z35" s="64">
        <f t="shared" si="21"/>
        <v>114</v>
      </c>
      <c r="AA35" s="84" t="s">
        <v>131</v>
      </c>
      <c r="AB35" s="64">
        <v>2023.6</v>
      </c>
      <c r="AC35" s="64"/>
    </row>
    <row r="36" s="42" customFormat="true" ht="25.5" spans="1:29">
      <c r="A36" s="64">
        <v>2</v>
      </c>
      <c r="B36" s="65" t="s">
        <v>132</v>
      </c>
      <c r="C36" s="66" t="s">
        <v>133</v>
      </c>
      <c r="D36" s="65" t="s">
        <v>81</v>
      </c>
      <c r="E36" s="65" t="s">
        <v>134</v>
      </c>
      <c r="F36" s="65" t="s">
        <v>130</v>
      </c>
      <c r="G36" s="64">
        <v>3500</v>
      </c>
      <c r="H36" s="64">
        <v>396</v>
      </c>
      <c r="I36" s="64">
        <v>450</v>
      </c>
      <c r="J36" s="64">
        <v>3500</v>
      </c>
      <c r="K36" s="64">
        <v>12</v>
      </c>
      <c r="L36" s="64">
        <v>12</v>
      </c>
      <c r="M36" s="64">
        <v>360</v>
      </c>
      <c r="N36" s="64">
        <v>846</v>
      </c>
      <c r="O36" s="64">
        <v>114</v>
      </c>
      <c r="P36" s="64">
        <v>0</v>
      </c>
      <c r="Q36" s="64">
        <v>732</v>
      </c>
      <c r="R36" s="64">
        <v>0</v>
      </c>
      <c r="S36" s="64">
        <f>S34</f>
        <v>0.1946</v>
      </c>
      <c r="T36" s="64">
        <f t="shared" si="39"/>
        <v>0.4</v>
      </c>
      <c r="U36" s="64">
        <f t="shared" si="40"/>
        <v>3200</v>
      </c>
      <c r="V36" s="64">
        <f t="shared" si="41"/>
        <v>3200</v>
      </c>
      <c r="W36" s="64">
        <f t="shared" si="42"/>
        <v>249</v>
      </c>
      <c r="X36" s="64">
        <f t="shared" si="43"/>
        <v>114</v>
      </c>
      <c r="Y36" s="64"/>
      <c r="Z36" s="64">
        <f t="shared" si="21"/>
        <v>114</v>
      </c>
      <c r="AA36" s="84" t="s">
        <v>135</v>
      </c>
      <c r="AB36" s="64">
        <v>2023.3</v>
      </c>
      <c r="AC36" s="64"/>
    </row>
    <row r="37" s="42" customFormat="true" spans="1:29">
      <c r="A37" s="64">
        <v>1</v>
      </c>
      <c r="B37" s="71" t="s">
        <v>136</v>
      </c>
      <c r="C37" s="65">
        <v>2</v>
      </c>
      <c r="D37" s="65"/>
      <c r="E37" s="65"/>
      <c r="F37" s="65"/>
      <c r="G37" s="64">
        <f t="shared" ref="G37:J37" si="46">G38+G39</f>
        <v>4205.63</v>
      </c>
      <c r="H37" s="64">
        <f t="shared" si="46"/>
        <v>680</v>
      </c>
      <c r="I37" s="64">
        <f t="shared" si="46"/>
        <v>480</v>
      </c>
      <c r="J37" s="64">
        <f t="shared" si="46"/>
        <v>4205.63</v>
      </c>
      <c r="K37" s="64">
        <v>15</v>
      </c>
      <c r="L37" s="64">
        <f t="shared" ref="L37:Q37" si="47">L38+L39</f>
        <v>15</v>
      </c>
      <c r="M37" s="64">
        <f t="shared" si="47"/>
        <v>450</v>
      </c>
      <c r="N37" s="64">
        <f t="shared" si="47"/>
        <v>1160</v>
      </c>
      <c r="O37" s="64">
        <f t="shared" si="47"/>
        <v>500</v>
      </c>
      <c r="P37" s="64">
        <f t="shared" si="47"/>
        <v>70</v>
      </c>
      <c r="Q37" s="64">
        <f t="shared" si="47"/>
        <v>590</v>
      </c>
      <c r="R37" s="64"/>
      <c r="S37" s="64">
        <f>VLOOKUP(B37,[1]补助标准!B:L,7,FALSE)</f>
        <v>0.1946</v>
      </c>
      <c r="T37" s="64"/>
      <c r="U37" s="64"/>
      <c r="V37" s="64"/>
      <c r="W37" s="64">
        <f>SUM(W38:W39)</f>
        <v>320</v>
      </c>
      <c r="X37" s="64">
        <f>SUM(X38:X39)</f>
        <v>320</v>
      </c>
      <c r="Y37" s="64"/>
      <c r="Z37" s="82">
        <f t="shared" si="21"/>
        <v>320</v>
      </c>
      <c r="AA37" s="64"/>
      <c r="AB37" s="64"/>
      <c r="AC37" s="64"/>
    </row>
    <row r="38" s="42" customFormat="true" ht="25.5" spans="1:29">
      <c r="A38" s="64">
        <v>2</v>
      </c>
      <c r="B38" s="65" t="s">
        <v>137</v>
      </c>
      <c r="C38" s="66" t="s">
        <v>138</v>
      </c>
      <c r="D38" s="65" t="s">
        <v>81</v>
      </c>
      <c r="E38" s="65" t="s">
        <v>139</v>
      </c>
      <c r="F38" s="65" t="s">
        <v>125</v>
      </c>
      <c r="G38" s="64">
        <v>2605.28</v>
      </c>
      <c r="H38" s="64">
        <v>380</v>
      </c>
      <c r="I38" s="64">
        <v>300</v>
      </c>
      <c r="J38" s="64">
        <v>2605.28</v>
      </c>
      <c r="K38" s="64">
        <v>9</v>
      </c>
      <c r="L38" s="64">
        <v>9</v>
      </c>
      <c r="M38" s="64">
        <v>270</v>
      </c>
      <c r="N38" s="64">
        <f>O38+P38+Q38</f>
        <v>680</v>
      </c>
      <c r="O38" s="64">
        <v>300</v>
      </c>
      <c r="P38" s="64">
        <v>40</v>
      </c>
      <c r="Q38" s="64">
        <v>340</v>
      </c>
      <c r="R38" s="64"/>
      <c r="S38" s="64">
        <f t="shared" si="38"/>
        <v>0.1946</v>
      </c>
      <c r="T38" s="64">
        <f t="shared" ref="T38:T43" si="48">IF(D38="扶持",0.4,(IF(D38="新建",1,IF(D38="改建",0.45,IF(D38="扩建",0.6,IF(D38="配建",0.4,0))))))</f>
        <v>0.4</v>
      </c>
      <c r="U38" s="64">
        <f t="shared" ref="U38:U43" si="49">IF(L38&gt;=12,3200,IF(L38&gt;=9,2500,IF(L38&gt;=6,1800,1200)))</f>
        <v>2500</v>
      </c>
      <c r="V38" s="64">
        <f t="shared" ref="V38:V43" si="50">ROUND(MIN(G38,U38),0)</f>
        <v>2500</v>
      </c>
      <c r="W38" s="64">
        <f t="shared" ref="W38:W43" si="51">ROUND(S38*V38*T38,0)</f>
        <v>195</v>
      </c>
      <c r="X38" s="64">
        <f t="shared" ref="X38:X43" si="52">MIN(W38,O38)</f>
        <v>195</v>
      </c>
      <c r="Y38" s="64"/>
      <c r="Z38" s="64">
        <f t="shared" si="21"/>
        <v>195</v>
      </c>
      <c r="AA38" s="84" t="s">
        <v>131</v>
      </c>
      <c r="AB38" s="64">
        <v>2023.6</v>
      </c>
      <c r="AC38" s="64"/>
    </row>
    <row r="39" s="42" customFormat="true" ht="25.5" spans="1:29">
      <c r="A39" s="64">
        <v>3</v>
      </c>
      <c r="B39" s="65" t="s">
        <v>140</v>
      </c>
      <c r="C39" s="66" t="s">
        <v>141</v>
      </c>
      <c r="D39" s="65" t="s">
        <v>81</v>
      </c>
      <c r="E39" s="65" t="s">
        <v>142</v>
      </c>
      <c r="F39" s="65" t="s">
        <v>125</v>
      </c>
      <c r="G39" s="64">
        <v>1600.35</v>
      </c>
      <c r="H39" s="64">
        <v>300</v>
      </c>
      <c r="I39" s="64">
        <v>180</v>
      </c>
      <c r="J39" s="64">
        <v>1600.35</v>
      </c>
      <c r="K39" s="64">
        <v>6</v>
      </c>
      <c r="L39" s="64">
        <v>6</v>
      </c>
      <c r="M39" s="64">
        <v>180</v>
      </c>
      <c r="N39" s="64">
        <f>O39+P39+Q39</f>
        <v>480</v>
      </c>
      <c r="O39" s="64">
        <v>200</v>
      </c>
      <c r="P39" s="64">
        <v>30</v>
      </c>
      <c r="Q39" s="64">
        <v>250</v>
      </c>
      <c r="R39" s="64"/>
      <c r="S39" s="64">
        <f>S37</f>
        <v>0.1946</v>
      </c>
      <c r="T39" s="64">
        <f t="shared" si="48"/>
        <v>0.4</v>
      </c>
      <c r="U39" s="64">
        <f t="shared" si="49"/>
        <v>1800</v>
      </c>
      <c r="V39" s="64">
        <f t="shared" si="50"/>
        <v>1600</v>
      </c>
      <c r="W39" s="64">
        <f t="shared" si="51"/>
        <v>125</v>
      </c>
      <c r="X39" s="64">
        <f t="shared" si="52"/>
        <v>125</v>
      </c>
      <c r="Y39" s="64"/>
      <c r="Z39" s="64">
        <f t="shared" si="21"/>
        <v>125</v>
      </c>
      <c r="AA39" s="84" t="s">
        <v>143</v>
      </c>
      <c r="AB39" s="64">
        <v>2023.6</v>
      </c>
      <c r="AC39" s="64"/>
    </row>
    <row r="40" s="42" customFormat="true" spans="1:29">
      <c r="A40" s="64">
        <v>1</v>
      </c>
      <c r="B40" s="71" t="s">
        <v>144</v>
      </c>
      <c r="C40" s="65">
        <v>3</v>
      </c>
      <c r="D40" s="65"/>
      <c r="E40" s="65"/>
      <c r="F40" s="65"/>
      <c r="G40" s="64">
        <f t="shared" ref="G40:J40" si="53">SUM(G41:G43)</f>
        <v>7547</v>
      </c>
      <c r="H40" s="64">
        <f t="shared" si="53"/>
        <v>400</v>
      </c>
      <c r="I40" s="64">
        <f t="shared" si="53"/>
        <v>400</v>
      </c>
      <c r="J40" s="64">
        <f t="shared" si="53"/>
        <v>7547</v>
      </c>
      <c r="K40" s="64">
        <v>27</v>
      </c>
      <c r="L40" s="64">
        <f t="shared" ref="L40:Q40" si="54">SUM(L41:L43)</f>
        <v>27</v>
      </c>
      <c r="M40" s="64">
        <f t="shared" si="54"/>
        <v>810</v>
      </c>
      <c r="N40" s="64">
        <f t="shared" si="54"/>
        <v>800</v>
      </c>
      <c r="O40" s="64">
        <f t="shared" si="54"/>
        <v>550</v>
      </c>
      <c r="P40" s="64">
        <f t="shared" si="54"/>
        <v>30</v>
      </c>
      <c r="Q40" s="64">
        <f t="shared" si="54"/>
        <v>220</v>
      </c>
      <c r="R40" s="64"/>
      <c r="S40" s="64">
        <f>VLOOKUP(B40,[1]补助标准!B:L,7,FALSE)</f>
        <v>0.1946</v>
      </c>
      <c r="T40" s="64"/>
      <c r="U40" s="64"/>
      <c r="V40" s="64"/>
      <c r="W40" s="64">
        <f>SUM(W41:W43)</f>
        <v>584</v>
      </c>
      <c r="X40" s="64">
        <f>SUM(X41:X43)</f>
        <v>535</v>
      </c>
      <c r="Y40" s="64"/>
      <c r="Z40" s="82">
        <f t="shared" si="21"/>
        <v>535</v>
      </c>
      <c r="AA40" s="64"/>
      <c r="AB40" s="64"/>
      <c r="AC40" s="64"/>
    </row>
    <row r="41" s="42" customFormat="true" ht="25.5" spans="1:29">
      <c r="A41" s="64">
        <v>1</v>
      </c>
      <c r="B41" s="65" t="s">
        <v>145</v>
      </c>
      <c r="C41" s="66" t="s">
        <v>146</v>
      </c>
      <c r="D41" s="65" t="s">
        <v>81</v>
      </c>
      <c r="E41" s="65" t="s">
        <v>147</v>
      </c>
      <c r="F41" s="65" t="s">
        <v>125</v>
      </c>
      <c r="G41" s="64">
        <v>2500</v>
      </c>
      <c r="H41" s="64">
        <v>150</v>
      </c>
      <c r="I41" s="64">
        <v>150</v>
      </c>
      <c r="J41" s="64">
        <v>2500</v>
      </c>
      <c r="K41" s="64">
        <v>9</v>
      </c>
      <c r="L41" s="64">
        <v>9</v>
      </c>
      <c r="M41" s="64">
        <v>270</v>
      </c>
      <c r="N41" s="64">
        <f t="shared" ref="N41:N43" si="55">SUM(O41:Q41)</f>
        <v>300</v>
      </c>
      <c r="O41" s="64">
        <v>200</v>
      </c>
      <c r="P41" s="64">
        <v>10</v>
      </c>
      <c r="Q41" s="64">
        <v>90</v>
      </c>
      <c r="R41" s="64"/>
      <c r="S41" s="64">
        <f>S40</f>
        <v>0.1946</v>
      </c>
      <c r="T41" s="64">
        <f t="shared" si="48"/>
        <v>0.4</v>
      </c>
      <c r="U41" s="64">
        <f t="shared" si="49"/>
        <v>2500</v>
      </c>
      <c r="V41" s="64">
        <f t="shared" si="50"/>
        <v>2500</v>
      </c>
      <c r="W41" s="64">
        <f t="shared" si="51"/>
        <v>195</v>
      </c>
      <c r="X41" s="64">
        <f t="shared" si="52"/>
        <v>195</v>
      </c>
      <c r="Y41" s="64"/>
      <c r="Z41" s="64">
        <f t="shared" si="21"/>
        <v>195</v>
      </c>
      <c r="AA41" s="64">
        <v>2022.7</v>
      </c>
      <c r="AB41" s="64">
        <v>2022.12</v>
      </c>
      <c r="AC41" s="64"/>
    </row>
    <row r="42" s="42" customFormat="true" ht="25.5" spans="1:29">
      <c r="A42" s="64">
        <v>2</v>
      </c>
      <c r="B42" s="65" t="s">
        <v>145</v>
      </c>
      <c r="C42" s="66" t="s">
        <v>148</v>
      </c>
      <c r="D42" s="65" t="s">
        <v>81</v>
      </c>
      <c r="E42" s="65" t="s">
        <v>149</v>
      </c>
      <c r="F42" s="65" t="s">
        <v>125</v>
      </c>
      <c r="G42" s="64">
        <v>1847</v>
      </c>
      <c r="H42" s="64">
        <v>100</v>
      </c>
      <c r="I42" s="64">
        <v>100</v>
      </c>
      <c r="J42" s="64">
        <v>1847</v>
      </c>
      <c r="K42" s="64">
        <v>6</v>
      </c>
      <c r="L42" s="64">
        <v>6</v>
      </c>
      <c r="M42" s="64">
        <v>180</v>
      </c>
      <c r="N42" s="64">
        <f t="shared" si="55"/>
        <v>200</v>
      </c>
      <c r="O42" s="64">
        <v>150</v>
      </c>
      <c r="P42" s="64">
        <v>10</v>
      </c>
      <c r="Q42" s="64">
        <v>40</v>
      </c>
      <c r="R42" s="64"/>
      <c r="S42" s="64">
        <f>S40</f>
        <v>0.1946</v>
      </c>
      <c r="T42" s="64">
        <f t="shared" si="48"/>
        <v>0.4</v>
      </c>
      <c r="U42" s="64">
        <f t="shared" si="49"/>
        <v>1800</v>
      </c>
      <c r="V42" s="64">
        <f t="shared" si="50"/>
        <v>1800</v>
      </c>
      <c r="W42" s="64">
        <f t="shared" si="51"/>
        <v>140</v>
      </c>
      <c r="X42" s="64">
        <f t="shared" si="52"/>
        <v>140</v>
      </c>
      <c r="Y42" s="64"/>
      <c r="Z42" s="64">
        <f t="shared" si="21"/>
        <v>140</v>
      </c>
      <c r="AA42" s="64">
        <v>2022.7</v>
      </c>
      <c r="AB42" s="64">
        <v>2022.12</v>
      </c>
      <c r="AC42" s="64"/>
    </row>
    <row r="43" s="42" customFormat="true" ht="25.5" spans="1:29">
      <c r="A43" s="64">
        <v>3</v>
      </c>
      <c r="B43" s="65" t="s">
        <v>150</v>
      </c>
      <c r="C43" s="66" t="s">
        <v>151</v>
      </c>
      <c r="D43" s="65" t="s">
        <v>81</v>
      </c>
      <c r="E43" s="65" t="s">
        <v>152</v>
      </c>
      <c r="F43" s="65" t="s">
        <v>125</v>
      </c>
      <c r="G43" s="64">
        <v>3200</v>
      </c>
      <c r="H43" s="64">
        <v>150</v>
      </c>
      <c r="I43" s="64">
        <v>150</v>
      </c>
      <c r="J43" s="64">
        <v>3200</v>
      </c>
      <c r="K43" s="64">
        <v>12</v>
      </c>
      <c r="L43" s="64">
        <v>12</v>
      </c>
      <c r="M43" s="64">
        <v>360</v>
      </c>
      <c r="N43" s="64">
        <f t="shared" si="55"/>
        <v>300</v>
      </c>
      <c r="O43" s="64">
        <v>200</v>
      </c>
      <c r="P43" s="64">
        <v>10</v>
      </c>
      <c r="Q43" s="64">
        <v>90</v>
      </c>
      <c r="R43" s="64"/>
      <c r="S43" s="64">
        <f>S40</f>
        <v>0.1946</v>
      </c>
      <c r="T43" s="64">
        <f t="shared" si="48"/>
        <v>0.4</v>
      </c>
      <c r="U43" s="64">
        <f t="shared" si="49"/>
        <v>3200</v>
      </c>
      <c r="V43" s="64">
        <f t="shared" si="50"/>
        <v>3200</v>
      </c>
      <c r="W43" s="64">
        <f t="shared" si="51"/>
        <v>249</v>
      </c>
      <c r="X43" s="64">
        <f t="shared" si="52"/>
        <v>200</v>
      </c>
      <c r="Y43" s="64"/>
      <c r="Z43" s="64">
        <f t="shared" si="21"/>
        <v>200</v>
      </c>
      <c r="AA43" s="64">
        <v>2022.7</v>
      </c>
      <c r="AB43" s="64">
        <v>2022.12</v>
      </c>
      <c r="AC43" s="64"/>
    </row>
    <row r="44" s="42" customFormat="true" ht="25.5" spans="1:29">
      <c r="A44" s="64">
        <v>1</v>
      </c>
      <c r="B44" s="71" t="s">
        <v>153</v>
      </c>
      <c r="C44" s="65">
        <v>6</v>
      </c>
      <c r="D44" s="65"/>
      <c r="E44" s="65"/>
      <c r="F44" s="65" t="s">
        <v>125</v>
      </c>
      <c r="G44" s="64">
        <f t="shared" ref="G44:J44" si="56">SUM(G45:G50)</f>
        <v>22500</v>
      </c>
      <c r="H44" s="64">
        <f t="shared" si="56"/>
        <v>850</v>
      </c>
      <c r="I44" s="64">
        <f t="shared" si="56"/>
        <v>1500</v>
      </c>
      <c r="J44" s="64">
        <f t="shared" si="56"/>
        <v>22500</v>
      </c>
      <c r="K44" s="64">
        <v>75</v>
      </c>
      <c r="L44" s="64">
        <f t="shared" ref="L44:O44" si="57">SUM(L45:L50)</f>
        <v>75</v>
      </c>
      <c r="M44" s="64">
        <f t="shared" si="57"/>
        <v>2250</v>
      </c>
      <c r="N44" s="64">
        <f t="shared" si="57"/>
        <v>2350</v>
      </c>
      <c r="O44" s="64">
        <f t="shared" si="57"/>
        <v>1610</v>
      </c>
      <c r="P44" s="64"/>
      <c r="Q44" s="64">
        <f>SUM(Q45:Q50)</f>
        <v>740</v>
      </c>
      <c r="R44" s="64"/>
      <c r="S44" s="64">
        <f>VLOOKUP(B44,[1]补助标准!B:L,7,FALSE)</f>
        <v>0.1946</v>
      </c>
      <c r="T44" s="64"/>
      <c r="U44" s="64"/>
      <c r="V44" s="64"/>
      <c r="W44" s="64">
        <f>SUM(W45:W50)</f>
        <v>1371</v>
      </c>
      <c r="X44" s="64">
        <f>SUM(X45:X50)</f>
        <v>1218</v>
      </c>
      <c r="Y44" s="64"/>
      <c r="Z44" s="82">
        <f t="shared" si="21"/>
        <v>1218</v>
      </c>
      <c r="AA44" s="85"/>
      <c r="AB44" s="85"/>
      <c r="AC44" s="85"/>
    </row>
    <row r="45" s="42" customFormat="true" ht="25.5" spans="1:29">
      <c r="A45" s="64">
        <v>1</v>
      </c>
      <c r="B45" s="65" t="s">
        <v>154</v>
      </c>
      <c r="C45" s="66" t="s">
        <v>155</v>
      </c>
      <c r="D45" s="65" t="s">
        <v>81</v>
      </c>
      <c r="E45" s="65" t="s">
        <v>156</v>
      </c>
      <c r="F45" s="65" t="s">
        <v>157</v>
      </c>
      <c r="G45" s="64">
        <v>3000</v>
      </c>
      <c r="H45" s="64">
        <v>350</v>
      </c>
      <c r="I45" s="64">
        <v>240</v>
      </c>
      <c r="J45" s="64">
        <v>3000</v>
      </c>
      <c r="K45" s="64">
        <v>12</v>
      </c>
      <c r="L45" s="64">
        <v>12</v>
      </c>
      <c r="M45" s="64">
        <v>360</v>
      </c>
      <c r="N45" s="64">
        <f t="shared" ref="N45:N50" si="58">SUM(O45:R45)</f>
        <v>590</v>
      </c>
      <c r="O45" s="64">
        <v>400</v>
      </c>
      <c r="P45" s="64"/>
      <c r="Q45" s="64">
        <v>190</v>
      </c>
      <c r="R45" s="64"/>
      <c r="S45" s="64">
        <f>S44</f>
        <v>0.1946</v>
      </c>
      <c r="T45" s="64">
        <f t="shared" ref="T45:T50" si="59">IF(D45="扶持",0.4,(IF(D45="新建",1,IF(D45="改建",0.45,IF(D45="扩建",0.6,IF(D45="配建",0.4,0))))))</f>
        <v>0.4</v>
      </c>
      <c r="U45" s="64">
        <f t="shared" ref="U45:U50" si="60">IF(L45&gt;=12,3200,IF(L45&gt;=9,2500,IF(L45&gt;=6,1800,1200)))</f>
        <v>3200</v>
      </c>
      <c r="V45" s="64">
        <f t="shared" ref="V45:V50" si="61">ROUND(MIN(G45,U45),0)</f>
        <v>3000</v>
      </c>
      <c r="W45" s="64">
        <f t="shared" ref="W45:W50" si="62">ROUND(S45*V45*T45,0)</f>
        <v>234</v>
      </c>
      <c r="X45" s="64">
        <f t="shared" ref="X45:X50" si="63">MIN(W45,O45)</f>
        <v>234</v>
      </c>
      <c r="Y45" s="64"/>
      <c r="Z45" s="64">
        <f t="shared" ref="Z45:Z73" si="64">X45+Y45</f>
        <v>234</v>
      </c>
      <c r="AA45" s="86">
        <v>2022.3</v>
      </c>
      <c r="AB45" s="86">
        <v>2022.9</v>
      </c>
      <c r="AC45" s="85"/>
    </row>
    <row r="46" s="42" customFormat="true" ht="25.5" spans="1:29">
      <c r="A46" s="64">
        <v>2</v>
      </c>
      <c r="B46" s="65" t="s">
        <v>154</v>
      </c>
      <c r="C46" s="66" t="s">
        <v>158</v>
      </c>
      <c r="D46" s="65" t="s">
        <v>81</v>
      </c>
      <c r="E46" s="65"/>
      <c r="F46" s="65" t="s">
        <v>159</v>
      </c>
      <c r="G46" s="64">
        <v>4800</v>
      </c>
      <c r="H46" s="64">
        <v>50</v>
      </c>
      <c r="I46" s="64">
        <v>360</v>
      </c>
      <c r="J46" s="64">
        <v>4800</v>
      </c>
      <c r="K46" s="64">
        <v>18</v>
      </c>
      <c r="L46" s="64">
        <v>18</v>
      </c>
      <c r="M46" s="64">
        <v>540</v>
      </c>
      <c r="N46" s="64">
        <f t="shared" si="58"/>
        <v>410</v>
      </c>
      <c r="O46" s="64">
        <v>270</v>
      </c>
      <c r="P46" s="64"/>
      <c r="Q46" s="64">
        <v>140</v>
      </c>
      <c r="R46" s="64"/>
      <c r="S46" s="64">
        <f>S44</f>
        <v>0.1946</v>
      </c>
      <c r="T46" s="64">
        <f t="shared" si="59"/>
        <v>0.4</v>
      </c>
      <c r="U46" s="64">
        <f t="shared" si="60"/>
        <v>3200</v>
      </c>
      <c r="V46" s="64">
        <f t="shared" si="61"/>
        <v>3200</v>
      </c>
      <c r="W46" s="64">
        <f t="shared" si="62"/>
        <v>249</v>
      </c>
      <c r="X46" s="64">
        <f t="shared" si="63"/>
        <v>249</v>
      </c>
      <c r="Y46" s="64"/>
      <c r="Z46" s="64">
        <f t="shared" si="64"/>
        <v>249</v>
      </c>
      <c r="AA46" s="86">
        <v>2022.3</v>
      </c>
      <c r="AB46" s="86">
        <v>2022.9</v>
      </c>
      <c r="AC46" s="85"/>
    </row>
    <row r="47" s="42" customFormat="true" ht="25.5" spans="1:29">
      <c r="A47" s="64">
        <v>3</v>
      </c>
      <c r="B47" s="65" t="s">
        <v>160</v>
      </c>
      <c r="C47" s="66" t="s">
        <v>161</v>
      </c>
      <c r="D47" s="65" t="s">
        <v>81</v>
      </c>
      <c r="E47" s="65" t="s">
        <v>162</v>
      </c>
      <c r="F47" s="65" t="s">
        <v>157</v>
      </c>
      <c r="G47" s="64">
        <v>2500</v>
      </c>
      <c r="H47" s="64">
        <v>300</v>
      </c>
      <c r="I47" s="64">
        <v>180</v>
      </c>
      <c r="J47" s="64">
        <v>2500</v>
      </c>
      <c r="K47" s="64">
        <v>9</v>
      </c>
      <c r="L47" s="64">
        <v>9</v>
      </c>
      <c r="M47" s="64">
        <v>270</v>
      </c>
      <c r="N47" s="64">
        <f t="shared" si="58"/>
        <v>480</v>
      </c>
      <c r="O47" s="64">
        <v>400</v>
      </c>
      <c r="P47" s="64"/>
      <c r="Q47" s="64">
        <v>80</v>
      </c>
      <c r="R47" s="64"/>
      <c r="S47" s="64">
        <f>S44</f>
        <v>0.1946</v>
      </c>
      <c r="T47" s="64">
        <f t="shared" si="59"/>
        <v>0.4</v>
      </c>
      <c r="U47" s="64">
        <f t="shared" si="60"/>
        <v>2500</v>
      </c>
      <c r="V47" s="64">
        <f t="shared" si="61"/>
        <v>2500</v>
      </c>
      <c r="W47" s="64">
        <f t="shared" si="62"/>
        <v>195</v>
      </c>
      <c r="X47" s="64">
        <f t="shared" si="63"/>
        <v>195</v>
      </c>
      <c r="Y47" s="64"/>
      <c r="Z47" s="64">
        <f t="shared" si="64"/>
        <v>195</v>
      </c>
      <c r="AA47" s="86">
        <v>2022.5</v>
      </c>
      <c r="AB47" s="86">
        <v>2022.9</v>
      </c>
      <c r="AC47" s="85"/>
    </row>
    <row r="48" s="42" customFormat="true" spans="1:29">
      <c r="A48" s="64">
        <v>4</v>
      </c>
      <c r="B48" s="65" t="s">
        <v>160</v>
      </c>
      <c r="C48" s="66" t="s">
        <v>163</v>
      </c>
      <c r="D48" s="65" t="s">
        <v>81</v>
      </c>
      <c r="E48" s="65"/>
      <c r="F48" s="65" t="s">
        <v>159</v>
      </c>
      <c r="G48" s="64">
        <v>5000</v>
      </c>
      <c r="H48" s="64">
        <v>50</v>
      </c>
      <c r="I48" s="64">
        <v>300</v>
      </c>
      <c r="J48" s="64">
        <v>5000</v>
      </c>
      <c r="K48" s="64">
        <v>15</v>
      </c>
      <c r="L48" s="64">
        <v>15</v>
      </c>
      <c r="M48" s="64">
        <v>450</v>
      </c>
      <c r="N48" s="64">
        <f t="shared" si="58"/>
        <v>350</v>
      </c>
      <c r="O48" s="64">
        <v>225</v>
      </c>
      <c r="P48" s="64"/>
      <c r="Q48" s="64">
        <v>125</v>
      </c>
      <c r="R48" s="64"/>
      <c r="S48" s="64">
        <f>S44</f>
        <v>0.1946</v>
      </c>
      <c r="T48" s="64">
        <f t="shared" si="59"/>
        <v>0.4</v>
      </c>
      <c r="U48" s="64">
        <f t="shared" si="60"/>
        <v>3200</v>
      </c>
      <c r="V48" s="64">
        <f t="shared" si="61"/>
        <v>3200</v>
      </c>
      <c r="W48" s="64">
        <f t="shared" si="62"/>
        <v>249</v>
      </c>
      <c r="X48" s="64">
        <f t="shared" si="63"/>
        <v>225</v>
      </c>
      <c r="Y48" s="64"/>
      <c r="Z48" s="64">
        <f t="shared" si="64"/>
        <v>225</v>
      </c>
      <c r="AA48" s="86">
        <v>2022.7</v>
      </c>
      <c r="AB48" s="86">
        <v>2023.5</v>
      </c>
      <c r="AC48" s="85"/>
    </row>
    <row r="49" s="42" customFormat="true" spans="1:29">
      <c r="A49" s="64">
        <v>5</v>
      </c>
      <c r="B49" s="65" t="s">
        <v>164</v>
      </c>
      <c r="C49" s="66" t="s">
        <v>165</v>
      </c>
      <c r="D49" s="65" t="s">
        <v>81</v>
      </c>
      <c r="E49" s="65"/>
      <c r="F49" s="65" t="s">
        <v>159</v>
      </c>
      <c r="G49" s="64">
        <v>3000</v>
      </c>
      <c r="H49" s="64">
        <v>50</v>
      </c>
      <c r="I49" s="64">
        <v>180</v>
      </c>
      <c r="J49" s="64">
        <v>3000</v>
      </c>
      <c r="K49" s="64">
        <v>9</v>
      </c>
      <c r="L49" s="64">
        <v>9</v>
      </c>
      <c r="M49" s="64">
        <v>270</v>
      </c>
      <c r="N49" s="64">
        <f t="shared" si="58"/>
        <v>230</v>
      </c>
      <c r="O49" s="64">
        <v>135</v>
      </c>
      <c r="P49" s="64"/>
      <c r="Q49" s="64">
        <v>95</v>
      </c>
      <c r="R49" s="64"/>
      <c r="S49" s="64">
        <f>S44</f>
        <v>0.1946</v>
      </c>
      <c r="T49" s="64">
        <f t="shared" si="59"/>
        <v>0.4</v>
      </c>
      <c r="U49" s="64">
        <f t="shared" si="60"/>
        <v>2500</v>
      </c>
      <c r="V49" s="64">
        <f t="shared" si="61"/>
        <v>2500</v>
      </c>
      <c r="W49" s="64">
        <f t="shared" si="62"/>
        <v>195</v>
      </c>
      <c r="X49" s="64">
        <f t="shared" si="63"/>
        <v>135</v>
      </c>
      <c r="Y49" s="64"/>
      <c r="Z49" s="64">
        <f t="shared" si="64"/>
        <v>135</v>
      </c>
      <c r="AA49" s="86">
        <v>2022.3</v>
      </c>
      <c r="AB49" s="86">
        <v>2022.9</v>
      </c>
      <c r="AC49" s="85"/>
    </row>
    <row r="50" s="42" customFormat="true" ht="25.5" spans="1:29">
      <c r="A50" s="64">
        <v>6</v>
      </c>
      <c r="B50" s="65" t="s">
        <v>166</v>
      </c>
      <c r="C50" s="66" t="s">
        <v>167</v>
      </c>
      <c r="D50" s="65" t="s">
        <v>81</v>
      </c>
      <c r="E50" s="65"/>
      <c r="F50" s="65" t="s">
        <v>159</v>
      </c>
      <c r="G50" s="64">
        <v>4200</v>
      </c>
      <c r="H50" s="64">
        <v>50</v>
      </c>
      <c r="I50" s="64">
        <v>240</v>
      </c>
      <c r="J50" s="64">
        <v>4200</v>
      </c>
      <c r="K50" s="64">
        <v>12</v>
      </c>
      <c r="L50" s="64">
        <v>12</v>
      </c>
      <c r="M50" s="64">
        <v>360</v>
      </c>
      <c r="N50" s="64">
        <f t="shared" si="58"/>
        <v>290</v>
      </c>
      <c r="O50" s="64">
        <v>180</v>
      </c>
      <c r="P50" s="64"/>
      <c r="Q50" s="64">
        <v>110</v>
      </c>
      <c r="R50" s="64"/>
      <c r="S50" s="64">
        <f>S44</f>
        <v>0.1946</v>
      </c>
      <c r="T50" s="64">
        <f t="shared" si="59"/>
        <v>0.4</v>
      </c>
      <c r="U50" s="64">
        <f t="shared" si="60"/>
        <v>3200</v>
      </c>
      <c r="V50" s="64">
        <f t="shared" si="61"/>
        <v>3200</v>
      </c>
      <c r="W50" s="64">
        <f t="shared" si="62"/>
        <v>249</v>
      </c>
      <c r="X50" s="64">
        <f t="shared" si="63"/>
        <v>180</v>
      </c>
      <c r="Y50" s="64"/>
      <c r="Z50" s="64">
        <f t="shared" si="64"/>
        <v>180</v>
      </c>
      <c r="AA50" s="86">
        <v>2022.3</v>
      </c>
      <c r="AB50" s="86">
        <v>2022.9</v>
      </c>
      <c r="AC50" s="85"/>
    </row>
    <row r="51" s="42" customFormat="true" spans="1:29">
      <c r="A51" s="64">
        <v>1</v>
      </c>
      <c r="B51" s="71" t="s">
        <v>168</v>
      </c>
      <c r="C51" s="65">
        <v>4</v>
      </c>
      <c r="D51" s="65"/>
      <c r="E51" s="65"/>
      <c r="F51" s="65"/>
      <c r="G51" s="64">
        <f t="shared" ref="G51:J51" si="65">SUM(G52:G55)</f>
        <v>13202.11</v>
      </c>
      <c r="H51" s="64">
        <f t="shared" si="65"/>
        <v>3283</v>
      </c>
      <c r="I51" s="64">
        <f t="shared" si="65"/>
        <v>0</v>
      </c>
      <c r="J51" s="64">
        <f t="shared" si="65"/>
        <v>13202.11</v>
      </c>
      <c r="K51" s="64">
        <v>39</v>
      </c>
      <c r="L51" s="64">
        <f t="shared" ref="L51:R51" si="66">SUM(L52:L55)</f>
        <v>39</v>
      </c>
      <c r="M51" s="64">
        <f t="shared" si="66"/>
        <v>1170</v>
      </c>
      <c r="N51" s="64">
        <f t="shared" si="66"/>
        <v>3283</v>
      </c>
      <c r="O51" s="64">
        <f t="shared" si="66"/>
        <v>1314</v>
      </c>
      <c r="P51" s="64">
        <f t="shared" si="66"/>
        <v>0</v>
      </c>
      <c r="Q51" s="64">
        <f t="shared" si="66"/>
        <v>1506</v>
      </c>
      <c r="R51" s="64">
        <f t="shared" si="66"/>
        <v>463</v>
      </c>
      <c r="S51" s="64">
        <f>VLOOKUP(B51,[1]补助标准!B:L,7,FALSE)</f>
        <v>0.1946</v>
      </c>
      <c r="T51" s="64"/>
      <c r="U51" s="64"/>
      <c r="V51" s="64"/>
      <c r="W51" s="64">
        <f>SUM(W52:W55)</f>
        <v>834</v>
      </c>
      <c r="X51" s="64">
        <f>SUM(X52:X55)</f>
        <v>834</v>
      </c>
      <c r="Y51" s="64"/>
      <c r="Z51" s="82">
        <f t="shared" si="64"/>
        <v>834</v>
      </c>
      <c r="AA51" s="64"/>
      <c r="AB51" s="64"/>
      <c r="AC51" s="64"/>
    </row>
    <row r="52" s="42" customFormat="true" ht="25.5" spans="1:29">
      <c r="A52" s="64">
        <v>1</v>
      </c>
      <c r="B52" s="65" t="s">
        <v>169</v>
      </c>
      <c r="C52" s="66" t="s">
        <v>170</v>
      </c>
      <c r="D52" s="65" t="s">
        <v>81</v>
      </c>
      <c r="E52" s="65" t="s">
        <v>171</v>
      </c>
      <c r="F52" s="65" t="s">
        <v>130</v>
      </c>
      <c r="G52" s="64">
        <v>2540</v>
      </c>
      <c r="H52" s="64">
        <v>650</v>
      </c>
      <c r="I52" s="64">
        <v>0</v>
      </c>
      <c r="J52" s="64">
        <v>2540</v>
      </c>
      <c r="K52" s="64">
        <v>9</v>
      </c>
      <c r="L52" s="64">
        <v>9</v>
      </c>
      <c r="M52" s="64">
        <v>270</v>
      </c>
      <c r="N52" s="64">
        <v>650</v>
      </c>
      <c r="O52" s="64">
        <v>260</v>
      </c>
      <c r="P52" s="64"/>
      <c r="Q52" s="64">
        <v>390</v>
      </c>
      <c r="R52" s="64"/>
      <c r="S52" s="64">
        <f>S51</f>
        <v>0.1946</v>
      </c>
      <c r="T52" s="64">
        <f t="shared" ref="T52:T55" si="67">IF(D52="扶持",0.4,(IF(D52="新建",1,IF(D52="改建",0.45,IF(D52="扩建",0.6,IF(D52="配建",0.4,0))))))</f>
        <v>0.4</v>
      </c>
      <c r="U52" s="64">
        <f t="shared" ref="U52:U55" si="68">IF(L52&gt;=12,3200,IF(L52&gt;=9,2500,IF(L52&gt;=6,1800,1200)))</f>
        <v>2500</v>
      </c>
      <c r="V52" s="64">
        <f t="shared" ref="V52:V55" si="69">ROUND(MIN(G52,U52),0)</f>
        <v>2500</v>
      </c>
      <c r="W52" s="64">
        <f t="shared" ref="W52:W55" si="70">ROUND(S52*V52*T52,0)</f>
        <v>195</v>
      </c>
      <c r="X52" s="64">
        <f t="shared" ref="X52:X55" si="71">MIN(W52,O52)</f>
        <v>195</v>
      </c>
      <c r="Y52" s="64"/>
      <c r="Z52" s="64">
        <f t="shared" si="64"/>
        <v>195</v>
      </c>
      <c r="AA52" s="64">
        <v>2022.4</v>
      </c>
      <c r="AB52" s="64">
        <v>2022.9</v>
      </c>
      <c r="AC52" s="64"/>
    </row>
    <row r="53" s="42" customFormat="true" ht="25.5" spans="1:29">
      <c r="A53" s="64">
        <v>2</v>
      </c>
      <c r="B53" s="65" t="s">
        <v>172</v>
      </c>
      <c r="C53" s="66" t="s">
        <v>173</v>
      </c>
      <c r="D53" s="65" t="s">
        <v>81</v>
      </c>
      <c r="E53" s="65" t="s">
        <v>174</v>
      </c>
      <c r="F53" s="65" t="s">
        <v>130</v>
      </c>
      <c r="G53" s="64">
        <v>2880</v>
      </c>
      <c r="H53" s="64">
        <v>760</v>
      </c>
      <c r="I53" s="64">
        <v>0</v>
      </c>
      <c r="J53" s="64">
        <v>2880</v>
      </c>
      <c r="K53" s="64">
        <v>9</v>
      </c>
      <c r="L53" s="64">
        <v>9</v>
      </c>
      <c r="M53" s="64">
        <v>270</v>
      </c>
      <c r="N53" s="64">
        <v>760</v>
      </c>
      <c r="O53" s="64">
        <v>304</v>
      </c>
      <c r="P53" s="64"/>
      <c r="Q53" s="64">
        <v>456</v>
      </c>
      <c r="R53" s="64"/>
      <c r="S53" s="64">
        <f>S51</f>
        <v>0.1946</v>
      </c>
      <c r="T53" s="64">
        <f t="shared" si="67"/>
        <v>0.4</v>
      </c>
      <c r="U53" s="64">
        <f t="shared" si="68"/>
        <v>2500</v>
      </c>
      <c r="V53" s="64">
        <f t="shared" si="69"/>
        <v>2500</v>
      </c>
      <c r="W53" s="64">
        <f t="shared" si="70"/>
        <v>195</v>
      </c>
      <c r="X53" s="64">
        <f t="shared" si="71"/>
        <v>195</v>
      </c>
      <c r="Y53" s="64"/>
      <c r="Z53" s="64">
        <f t="shared" si="64"/>
        <v>195</v>
      </c>
      <c r="AA53" s="64">
        <v>2022.4</v>
      </c>
      <c r="AB53" s="64">
        <v>2022.9</v>
      </c>
      <c r="AC53" s="64"/>
    </row>
    <row r="54" s="42" customFormat="true" ht="25.5" spans="1:29">
      <c r="A54" s="64">
        <v>3</v>
      </c>
      <c r="B54" s="65" t="s">
        <v>172</v>
      </c>
      <c r="C54" s="66" t="s">
        <v>175</v>
      </c>
      <c r="D54" s="65" t="s">
        <v>81</v>
      </c>
      <c r="E54" s="65" t="s">
        <v>176</v>
      </c>
      <c r="F54" s="65" t="s">
        <v>130</v>
      </c>
      <c r="G54" s="64">
        <v>4582.11</v>
      </c>
      <c r="H54" s="64">
        <v>1100</v>
      </c>
      <c r="I54" s="64">
        <v>0</v>
      </c>
      <c r="J54" s="64">
        <v>4582.11</v>
      </c>
      <c r="K54" s="64">
        <v>12</v>
      </c>
      <c r="L54" s="64">
        <v>12</v>
      </c>
      <c r="M54" s="64">
        <v>360</v>
      </c>
      <c r="N54" s="64">
        <v>1100</v>
      </c>
      <c r="O54" s="64">
        <v>440</v>
      </c>
      <c r="P54" s="64"/>
      <c r="Q54" s="64">
        <v>660</v>
      </c>
      <c r="R54" s="64"/>
      <c r="S54" s="64">
        <f>S51</f>
        <v>0.1946</v>
      </c>
      <c r="T54" s="64">
        <f t="shared" si="67"/>
        <v>0.4</v>
      </c>
      <c r="U54" s="64">
        <f t="shared" si="68"/>
        <v>3200</v>
      </c>
      <c r="V54" s="64">
        <f t="shared" si="69"/>
        <v>3200</v>
      </c>
      <c r="W54" s="64">
        <f t="shared" si="70"/>
        <v>249</v>
      </c>
      <c r="X54" s="64">
        <f t="shared" si="71"/>
        <v>249</v>
      </c>
      <c r="Y54" s="64"/>
      <c r="Z54" s="64">
        <f t="shared" si="64"/>
        <v>249</v>
      </c>
      <c r="AA54" s="64">
        <v>2022.4</v>
      </c>
      <c r="AB54" s="64">
        <v>2022.9</v>
      </c>
      <c r="AC54" s="64"/>
    </row>
    <row r="55" s="42" customFormat="true" ht="25.5" spans="1:29">
      <c r="A55" s="64">
        <v>1</v>
      </c>
      <c r="B55" s="65" t="s">
        <v>172</v>
      </c>
      <c r="C55" s="66" t="s">
        <v>177</v>
      </c>
      <c r="D55" s="65" t="s">
        <v>114</v>
      </c>
      <c r="E55" s="65" t="s">
        <v>178</v>
      </c>
      <c r="F55" s="65" t="s">
        <v>130</v>
      </c>
      <c r="G55" s="64">
        <v>3200</v>
      </c>
      <c r="H55" s="64">
        <v>773</v>
      </c>
      <c r="I55" s="64">
        <v>0</v>
      </c>
      <c r="J55" s="64">
        <v>3200</v>
      </c>
      <c r="K55" s="64">
        <v>9</v>
      </c>
      <c r="L55" s="64">
        <v>9</v>
      </c>
      <c r="M55" s="64">
        <v>270</v>
      </c>
      <c r="N55" s="64">
        <f>SUM(O55:R55)</f>
        <v>773</v>
      </c>
      <c r="O55" s="64">
        <v>310</v>
      </c>
      <c r="P55" s="64">
        <v>0</v>
      </c>
      <c r="Q55" s="64">
        <v>0</v>
      </c>
      <c r="R55" s="64">
        <v>463</v>
      </c>
      <c r="S55" s="64">
        <f>S51</f>
        <v>0.1946</v>
      </c>
      <c r="T55" s="64">
        <f t="shared" si="67"/>
        <v>0.4</v>
      </c>
      <c r="U55" s="64">
        <f t="shared" si="68"/>
        <v>2500</v>
      </c>
      <c r="V55" s="64">
        <f t="shared" si="69"/>
        <v>2500</v>
      </c>
      <c r="W55" s="64">
        <f t="shared" si="70"/>
        <v>195</v>
      </c>
      <c r="X55" s="64">
        <f t="shared" si="71"/>
        <v>195</v>
      </c>
      <c r="Y55" s="64"/>
      <c r="Z55" s="64">
        <f t="shared" si="64"/>
        <v>195</v>
      </c>
      <c r="AA55" s="64">
        <v>2022.4</v>
      </c>
      <c r="AB55" s="64">
        <v>2022.9</v>
      </c>
      <c r="AC55" s="64"/>
    </row>
    <row r="56" s="42" customFormat="true" spans="1:29">
      <c r="A56" s="64">
        <v>1</v>
      </c>
      <c r="B56" s="71" t="s">
        <v>179</v>
      </c>
      <c r="C56" s="65">
        <v>5</v>
      </c>
      <c r="D56" s="65"/>
      <c r="E56" s="65"/>
      <c r="F56" s="65"/>
      <c r="G56" s="64">
        <f t="shared" ref="G56:J56" si="72">G57+G58+G59+G60+G61</f>
        <v>19297.67</v>
      </c>
      <c r="H56" s="64">
        <f t="shared" si="72"/>
        <v>2000</v>
      </c>
      <c r="I56" s="64">
        <f t="shared" si="72"/>
        <v>1750</v>
      </c>
      <c r="J56" s="64">
        <f t="shared" si="72"/>
        <v>19297.67</v>
      </c>
      <c r="K56" s="64">
        <v>57</v>
      </c>
      <c r="L56" s="64">
        <f t="shared" ref="L56:R56" si="73">L57+L58+L59+L60+L61</f>
        <v>57</v>
      </c>
      <c r="M56" s="64">
        <f t="shared" si="73"/>
        <v>1710</v>
      </c>
      <c r="N56" s="64">
        <f t="shared" si="73"/>
        <v>3750</v>
      </c>
      <c r="O56" s="64">
        <f t="shared" si="73"/>
        <v>575</v>
      </c>
      <c r="P56" s="64">
        <f t="shared" si="73"/>
        <v>0</v>
      </c>
      <c r="Q56" s="64">
        <f t="shared" si="73"/>
        <v>0</v>
      </c>
      <c r="R56" s="64">
        <f t="shared" si="73"/>
        <v>3175</v>
      </c>
      <c r="S56" s="64">
        <f>VLOOKUP(B56,[1]补助标准!B:L,7,FALSE)</f>
        <v>0.1946</v>
      </c>
      <c r="T56" s="64"/>
      <c r="U56" s="64"/>
      <c r="V56" s="64"/>
      <c r="W56" s="64">
        <f>SUM(W57:W61)</f>
        <v>1191</v>
      </c>
      <c r="X56" s="64">
        <f>SUM(X57:X61)</f>
        <v>575</v>
      </c>
      <c r="Y56" s="64"/>
      <c r="Z56" s="82">
        <f t="shared" si="64"/>
        <v>575</v>
      </c>
      <c r="AA56" s="64"/>
      <c r="AB56" s="64"/>
      <c r="AC56" s="64"/>
    </row>
    <row r="57" s="42" customFormat="true" spans="1:29">
      <c r="A57" s="64">
        <v>1</v>
      </c>
      <c r="B57" s="65" t="s">
        <v>180</v>
      </c>
      <c r="C57" s="66" t="s">
        <v>181</v>
      </c>
      <c r="D57" s="65" t="s">
        <v>114</v>
      </c>
      <c r="E57" s="65" t="s">
        <v>182</v>
      </c>
      <c r="F57" s="65" t="s">
        <v>130</v>
      </c>
      <c r="G57" s="64">
        <v>4521</v>
      </c>
      <c r="H57" s="64">
        <v>400</v>
      </c>
      <c r="I57" s="64">
        <v>350</v>
      </c>
      <c r="J57" s="64">
        <v>4521</v>
      </c>
      <c r="K57" s="64">
        <v>12</v>
      </c>
      <c r="L57" s="64">
        <v>12</v>
      </c>
      <c r="M57" s="64">
        <v>360</v>
      </c>
      <c r="N57" s="64">
        <v>750</v>
      </c>
      <c r="O57" s="64">
        <v>115</v>
      </c>
      <c r="P57" s="64"/>
      <c r="Q57" s="64"/>
      <c r="R57" s="64">
        <v>635</v>
      </c>
      <c r="S57" s="64">
        <f>S56</f>
        <v>0.1946</v>
      </c>
      <c r="T57" s="64">
        <f t="shared" ref="T57:T61" si="74">IF(D57="扶持",0.4,(IF(D57="新建",1,IF(D57="改建",0.45,IF(D57="扩建",0.6,IF(D57="配建",0.4,0))))))</f>
        <v>0.4</v>
      </c>
      <c r="U57" s="64">
        <f t="shared" ref="U57:U61" si="75">IF(L57&gt;=12,3200,IF(L57&gt;=9,2500,IF(L57&gt;=6,1800,1200)))</f>
        <v>3200</v>
      </c>
      <c r="V57" s="64">
        <f t="shared" ref="V57:V61" si="76">ROUND(MIN(G57,U57),0)</f>
        <v>3200</v>
      </c>
      <c r="W57" s="64">
        <f t="shared" ref="W57:W61" si="77">ROUND(S57*V57*T57,0)</f>
        <v>249</v>
      </c>
      <c r="X57" s="64">
        <f t="shared" ref="X57:X61" si="78">MIN(W57,O57)</f>
        <v>115</v>
      </c>
      <c r="Y57" s="64"/>
      <c r="Z57" s="64">
        <f t="shared" si="64"/>
        <v>115</v>
      </c>
      <c r="AA57" s="83">
        <v>44805</v>
      </c>
      <c r="AB57" s="64" t="s">
        <v>183</v>
      </c>
      <c r="AC57" s="64"/>
    </row>
    <row r="58" s="42" customFormat="true" spans="1:29">
      <c r="A58" s="64">
        <v>2</v>
      </c>
      <c r="B58" s="65" t="s">
        <v>180</v>
      </c>
      <c r="C58" s="66" t="s">
        <v>184</v>
      </c>
      <c r="D58" s="65" t="s">
        <v>114</v>
      </c>
      <c r="E58" s="65" t="s">
        <v>182</v>
      </c>
      <c r="F58" s="65" t="s">
        <v>130</v>
      </c>
      <c r="G58" s="64">
        <v>3200</v>
      </c>
      <c r="H58" s="64">
        <v>400</v>
      </c>
      <c r="I58" s="64">
        <v>350</v>
      </c>
      <c r="J58" s="64">
        <v>3200</v>
      </c>
      <c r="K58" s="64">
        <v>12</v>
      </c>
      <c r="L58" s="64">
        <v>12</v>
      </c>
      <c r="M58" s="64">
        <v>360</v>
      </c>
      <c r="N58" s="64">
        <v>750</v>
      </c>
      <c r="O58" s="64">
        <v>115</v>
      </c>
      <c r="P58" s="64"/>
      <c r="Q58" s="64"/>
      <c r="R58" s="64">
        <v>635</v>
      </c>
      <c r="S58" s="64">
        <f>S56</f>
        <v>0.1946</v>
      </c>
      <c r="T58" s="64">
        <f t="shared" si="74"/>
        <v>0.4</v>
      </c>
      <c r="U58" s="64">
        <f t="shared" si="75"/>
        <v>3200</v>
      </c>
      <c r="V58" s="64">
        <f t="shared" si="76"/>
        <v>3200</v>
      </c>
      <c r="W58" s="64">
        <f t="shared" si="77"/>
        <v>249</v>
      </c>
      <c r="X58" s="64">
        <f t="shared" si="78"/>
        <v>115</v>
      </c>
      <c r="Y58" s="64"/>
      <c r="Z58" s="64">
        <f t="shared" si="64"/>
        <v>115</v>
      </c>
      <c r="AA58" s="83">
        <v>44805</v>
      </c>
      <c r="AB58" s="64" t="s">
        <v>183</v>
      </c>
      <c r="AC58" s="64"/>
    </row>
    <row r="59" s="42" customFormat="true" spans="1:29">
      <c r="A59" s="64">
        <v>3</v>
      </c>
      <c r="B59" s="65" t="s">
        <v>185</v>
      </c>
      <c r="C59" s="66" t="s">
        <v>186</v>
      </c>
      <c r="D59" s="65" t="s">
        <v>114</v>
      </c>
      <c r="E59" s="65" t="s">
        <v>182</v>
      </c>
      <c r="F59" s="65" t="s">
        <v>130</v>
      </c>
      <c r="G59" s="64">
        <v>4502.67</v>
      </c>
      <c r="H59" s="64">
        <v>400</v>
      </c>
      <c r="I59" s="64">
        <v>350</v>
      </c>
      <c r="J59" s="64">
        <v>4502.67</v>
      </c>
      <c r="K59" s="64">
        <v>12</v>
      </c>
      <c r="L59" s="64">
        <v>12</v>
      </c>
      <c r="M59" s="64">
        <v>360</v>
      </c>
      <c r="N59" s="64">
        <v>750</v>
      </c>
      <c r="O59" s="64">
        <v>115</v>
      </c>
      <c r="P59" s="64"/>
      <c r="Q59" s="64"/>
      <c r="R59" s="64">
        <v>635</v>
      </c>
      <c r="S59" s="64">
        <f>S56</f>
        <v>0.1946</v>
      </c>
      <c r="T59" s="64">
        <f t="shared" si="74"/>
        <v>0.4</v>
      </c>
      <c r="U59" s="64">
        <f t="shared" si="75"/>
        <v>3200</v>
      </c>
      <c r="V59" s="64">
        <f t="shared" si="76"/>
        <v>3200</v>
      </c>
      <c r="W59" s="64">
        <f t="shared" si="77"/>
        <v>249</v>
      </c>
      <c r="X59" s="64">
        <f t="shared" si="78"/>
        <v>115</v>
      </c>
      <c r="Y59" s="64"/>
      <c r="Z59" s="64">
        <f t="shared" si="64"/>
        <v>115</v>
      </c>
      <c r="AA59" s="83">
        <v>44805</v>
      </c>
      <c r="AB59" s="64" t="s">
        <v>183</v>
      </c>
      <c r="AC59" s="64"/>
    </row>
    <row r="60" s="42" customFormat="true" spans="1:29">
      <c r="A60" s="64">
        <v>4</v>
      </c>
      <c r="B60" s="65" t="s">
        <v>187</v>
      </c>
      <c r="C60" s="66" t="s">
        <v>188</v>
      </c>
      <c r="D60" s="65" t="s">
        <v>114</v>
      </c>
      <c r="E60" s="65" t="s">
        <v>182</v>
      </c>
      <c r="F60" s="65" t="s">
        <v>130</v>
      </c>
      <c r="G60" s="64">
        <v>4500</v>
      </c>
      <c r="H60" s="64">
        <v>400</v>
      </c>
      <c r="I60" s="64">
        <v>350</v>
      </c>
      <c r="J60" s="64">
        <v>4500</v>
      </c>
      <c r="K60" s="64">
        <v>12</v>
      </c>
      <c r="L60" s="64">
        <v>12</v>
      </c>
      <c r="M60" s="64">
        <v>360</v>
      </c>
      <c r="N60" s="64">
        <v>750</v>
      </c>
      <c r="O60" s="64">
        <v>115</v>
      </c>
      <c r="P60" s="64"/>
      <c r="Q60" s="64"/>
      <c r="R60" s="64">
        <v>635</v>
      </c>
      <c r="S60" s="64">
        <f>S57</f>
        <v>0.1946</v>
      </c>
      <c r="T60" s="64">
        <f t="shared" si="74"/>
        <v>0.4</v>
      </c>
      <c r="U60" s="64">
        <f t="shared" si="75"/>
        <v>3200</v>
      </c>
      <c r="V60" s="64">
        <f t="shared" si="76"/>
        <v>3200</v>
      </c>
      <c r="W60" s="64">
        <f t="shared" si="77"/>
        <v>249</v>
      </c>
      <c r="X60" s="64">
        <f t="shared" si="78"/>
        <v>115</v>
      </c>
      <c r="Y60" s="64"/>
      <c r="Z60" s="64">
        <f t="shared" si="64"/>
        <v>115</v>
      </c>
      <c r="AA60" s="83">
        <v>44805</v>
      </c>
      <c r="AB60" s="64" t="s">
        <v>183</v>
      </c>
      <c r="AC60" s="64"/>
    </row>
    <row r="61" s="42" customFormat="true" spans="1:29">
      <c r="A61" s="64">
        <v>5</v>
      </c>
      <c r="B61" s="65" t="s">
        <v>189</v>
      </c>
      <c r="C61" s="66" t="s">
        <v>190</v>
      </c>
      <c r="D61" s="65" t="s">
        <v>114</v>
      </c>
      <c r="E61" s="65" t="s">
        <v>182</v>
      </c>
      <c r="F61" s="65" t="s">
        <v>130</v>
      </c>
      <c r="G61" s="64">
        <v>2574</v>
      </c>
      <c r="H61" s="64">
        <v>400</v>
      </c>
      <c r="I61" s="64">
        <v>350</v>
      </c>
      <c r="J61" s="64">
        <v>2574</v>
      </c>
      <c r="K61" s="64">
        <v>9</v>
      </c>
      <c r="L61" s="64">
        <v>9</v>
      </c>
      <c r="M61" s="64">
        <v>270</v>
      </c>
      <c r="N61" s="64">
        <v>750</v>
      </c>
      <c r="O61" s="64">
        <v>115</v>
      </c>
      <c r="P61" s="64"/>
      <c r="Q61" s="64"/>
      <c r="R61" s="64">
        <v>635</v>
      </c>
      <c r="S61" s="64">
        <f>S56</f>
        <v>0.1946</v>
      </c>
      <c r="T61" s="64">
        <f t="shared" si="74"/>
        <v>0.4</v>
      </c>
      <c r="U61" s="64">
        <f t="shared" si="75"/>
        <v>2500</v>
      </c>
      <c r="V61" s="64">
        <f t="shared" si="76"/>
        <v>2500</v>
      </c>
      <c r="W61" s="64">
        <f t="shared" si="77"/>
        <v>195</v>
      </c>
      <c r="X61" s="64">
        <f t="shared" si="78"/>
        <v>115</v>
      </c>
      <c r="Y61" s="64"/>
      <c r="Z61" s="64">
        <f t="shared" si="64"/>
        <v>115</v>
      </c>
      <c r="AA61" s="83">
        <v>44805</v>
      </c>
      <c r="AB61" s="64" t="s">
        <v>183</v>
      </c>
      <c r="AC61" s="64"/>
    </row>
    <row r="62" s="40" customFormat="true" spans="1:29">
      <c r="A62" s="62"/>
      <c r="B62" s="63" t="s">
        <v>15</v>
      </c>
      <c r="C62" s="63">
        <f>C63+C65+C67+C71+C73+C82+C85+C87</f>
        <v>20</v>
      </c>
      <c r="D62" s="63"/>
      <c r="E62" s="63"/>
      <c r="F62" s="63"/>
      <c r="G62" s="62">
        <f t="shared" ref="G62:J62" si="79">G63+G65+G67+G71+G73+G82+G85+G87</f>
        <v>98496.51</v>
      </c>
      <c r="H62" s="62">
        <f t="shared" si="79"/>
        <v>13919.13</v>
      </c>
      <c r="I62" s="62">
        <f t="shared" si="79"/>
        <v>4605</v>
      </c>
      <c r="J62" s="62">
        <f t="shared" si="79"/>
        <v>98496.51</v>
      </c>
      <c r="K62" s="62">
        <v>249</v>
      </c>
      <c r="L62" s="62">
        <f t="shared" ref="L62:R62" si="80">L63+L65+L67+L71+L73+L82+L85+L87</f>
        <v>258</v>
      </c>
      <c r="M62" s="62">
        <f t="shared" si="80"/>
        <v>7470</v>
      </c>
      <c r="N62" s="62">
        <f t="shared" si="80"/>
        <v>18524.13</v>
      </c>
      <c r="O62" s="62">
        <f t="shared" si="80"/>
        <v>10774.8</v>
      </c>
      <c r="P62" s="62">
        <f t="shared" si="80"/>
        <v>1600</v>
      </c>
      <c r="Q62" s="62">
        <f t="shared" si="80"/>
        <v>2381.3</v>
      </c>
      <c r="R62" s="62">
        <f t="shared" si="80"/>
        <v>3768</v>
      </c>
      <c r="S62" s="64"/>
      <c r="T62" s="62"/>
      <c r="U62" s="78"/>
      <c r="V62" s="62"/>
      <c r="W62" s="78">
        <f>W63+W65+W67+W71+W82+W73+W85+W87</f>
        <v>6228</v>
      </c>
      <c r="X62" s="62">
        <f>X63+X65+X67+X71+X82+X73+X85+X87</f>
        <v>6228</v>
      </c>
      <c r="Y62" s="62"/>
      <c r="Z62" s="62">
        <f t="shared" si="64"/>
        <v>6228</v>
      </c>
      <c r="AA62" s="62"/>
      <c r="AB62" s="62"/>
      <c r="AC62" s="62"/>
    </row>
    <row r="63" s="42" customFormat="true" spans="1:29">
      <c r="A63" s="64">
        <v>1</v>
      </c>
      <c r="B63" s="71" t="s">
        <v>191</v>
      </c>
      <c r="C63" s="65">
        <v>1</v>
      </c>
      <c r="D63" s="65"/>
      <c r="E63" s="65"/>
      <c r="F63" s="65"/>
      <c r="G63" s="64">
        <f t="shared" ref="G63:J63" si="81">G64</f>
        <v>7657.73</v>
      </c>
      <c r="H63" s="64">
        <f t="shared" si="81"/>
        <v>4000</v>
      </c>
      <c r="I63" s="64">
        <f t="shared" si="81"/>
        <v>0</v>
      </c>
      <c r="J63" s="64">
        <f t="shared" si="81"/>
        <v>7657.73</v>
      </c>
      <c r="K63" s="64">
        <v>18</v>
      </c>
      <c r="L63" s="64">
        <f t="shared" ref="L63:R63" si="82">L64</f>
        <v>18</v>
      </c>
      <c r="M63" s="64">
        <f t="shared" si="82"/>
        <v>540</v>
      </c>
      <c r="N63" s="64">
        <f t="shared" si="82"/>
        <v>4000</v>
      </c>
      <c r="O63" s="64">
        <f t="shared" si="82"/>
        <v>2400</v>
      </c>
      <c r="P63" s="64">
        <f t="shared" si="82"/>
        <v>1600</v>
      </c>
      <c r="Q63" s="64">
        <f t="shared" si="82"/>
        <v>0</v>
      </c>
      <c r="R63" s="64">
        <f t="shared" si="82"/>
        <v>0</v>
      </c>
      <c r="S63" s="64">
        <f>VLOOKUP(B63,[1]补助标准!B:L,7,FALSE)</f>
        <v>0.1946</v>
      </c>
      <c r="T63" s="64"/>
      <c r="U63" s="64"/>
      <c r="V63" s="64"/>
      <c r="W63" s="64">
        <f>W64</f>
        <v>623</v>
      </c>
      <c r="X63" s="64">
        <f>X64</f>
        <v>623</v>
      </c>
      <c r="Y63" s="64"/>
      <c r="Z63" s="82">
        <f t="shared" si="64"/>
        <v>623</v>
      </c>
      <c r="AA63" s="64"/>
      <c r="AB63" s="64"/>
      <c r="AC63" s="64"/>
    </row>
    <row r="64" s="42" customFormat="true" ht="38.25" spans="1:29">
      <c r="A64" s="64">
        <v>1</v>
      </c>
      <c r="B64" s="65"/>
      <c r="C64" s="66" t="s">
        <v>192</v>
      </c>
      <c r="D64" s="65" t="s">
        <v>72</v>
      </c>
      <c r="E64" s="65"/>
      <c r="F64" s="65" t="s">
        <v>193</v>
      </c>
      <c r="G64" s="64">
        <v>7657.73</v>
      </c>
      <c r="H64" s="64">
        <v>4000</v>
      </c>
      <c r="I64" s="64"/>
      <c r="J64" s="64">
        <v>7657.73</v>
      </c>
      <c r="K64" s="64">
        <v>18</v>
      </c>
      <c r="L64" s="64">
        <v>18</v>
      </c>
      <c r="M64" s="64">
        <v>540</v>
      </c>
      <c r="N64" s="64">
        <v>4000</v>
      </c>
      <c r="O64" s="64">
        <v>2400</v>
      </c>
      <c r="P64" s="64">
        <v>1600</v>
      </c>
      <c r="Q64" s="64">
        <v>0</v>
      </c>
      <c r="R64" s="64">
        <v>0</v>
      </c>
      <c r="S64" s="64">
        <f t="shared" ref="S64:S68" si="83">S63</f>
        <v>0.1946</v>
      </c>
      <c r="T64" s="64">
        <f t="shared" ref="T64:T70" si="84">IF(D64="扶持",0.4,(IF(D64="新建",1,IF(D64="改建",0.45,IF(D64="扩建",0.6,IF(D64="配建",0.4,0))))))</f>
        <v>1</v>
      </c>
      <c r="U64" s="64">
        <f t="shared" ref="U64:U70" si="85">IF(L64&gt;=12,3200,IF(L64&gt;=9,2500,IF(L64&gt;=6,1800,1200)))</f>
        <v>3200</v>
      </c>
      <c r="V64" s="64">
        <f t="shared" ref="V64:V70" si="86">ROUND(MIN(G64,U64),0)</f>
        <v>3200</v>
      </c>
      <c r="W64" s="64">
        <f t="shared" ref="W64:W70" si="87">ROUND(S64*V64*T64,0)</f>
        <v>623</v>
      </c>
      <c r="X64" s="64">
        <f t="shared" ref="X64:X70" si="88">MIN(W64,O64)</f>
        <v>623</v>
      </c>
      <c r="Y64" s="64"/>
      <c r="Z64" s="64">
        <f t="shared" si="64"/>
        <v>623</v>
      </c>
      <c r="AA64" s="64"/>
      <c r="AB64" s="64"/>
      <c r="AC64" s="64"/>
    </row>
    <row r="65" s="42" customFormat="true" spans="1:29">
      <c r="A65" s="64">
        <v>1</v>
      </c>
      <c r="B65" s="71" t="s">
        <v>194</v>
      </c>
      <c r="C65" s="65">
        <v>1</v>
      </c>
      <c r="D65" s="65"/>
      <c r="E65" s="65"/>
      <c r="F65" s="65"/>
      <c r="G65" s="64">
        <f t="shared" ref="G65:J65" si="89">G66</f>
        <v>9299.2</v>
      </c>
      <c r="H65" s="64">
        <f t="shared" si="89"/>
        <v>2983.33</v>
      </c>
      <c r="I65" s="64">
        <f t="shared" si="89"/>
        <v>0</v>
      </c>
      <c r="J65" s="64">
        <f t="shared" si="89"/>
        <v>9299.2</v>
      </c>
      <c r="K65" s="64">
        <v>24</v>
      </c>
      <c r="L65" s="64">
        <f t="shared" ref="L65:R65" si="90">L66</f>
        <v>24</v>
      </c>
      <c r="M65" s="64">
        <f t="shared" si="90"/>
        <v>720</v>
      </c>
      <c r="N65" s="103">
        <f t="shared" si="90"/>
        <v>2983.33</v>
      </c>
      <c r="O65" s="103">
        <f t="shared" si="90"/>
        <v>830</v>
      </c>
      <c r="P65" s="103">
        <f t="shared" si="90"/>
        <v>0</v>
      </c>
      <c r="Q65" s="103">
        <f t="shared" si="90"/>
        <v>2153.3</v>
      </c>
      <c r="R65" s="103">
        <f t="shared" si="90"/>
        <v>0</v>
      </c>
      <c r="S65" s="64">
        <f>VLOOKUP(B65,[1]补助标准!B:L,7,FALSE)</f>
        <v>0.1946</v>
      </c>
      <c r="T65" s="103"/>
      <c r="U65" s="103"/>
      <c r="V65" s="103"/>
      <c r="W65" s="103">
        <f>W66</f>
        <v>623</v>
      </c>
      <c r="X65" s="64">
        <f>X66</f>
        <v>623</v>
      </c>
      <c r="Y65" s="64"/>
      <c r="Z65" s="82">
        <f t="shared" si="64"/>
        <v>623</v>
      </c>
      <c r="AA65" s="64"/>
      <c r="AB65" s="64"/>
      <c r="AC65" s="64"/>
    </row>
    <row r="66" s="42" customFormat="true" ht="25.5" spans="1:29">
      <c r="A66" s="87">
        <v>1</v>
      </c>
      <c r="B66" s="88" t="s">
        <v>195</v>
      </c>
      <c r="C66" s="89" t="s">
        <v>196</v>
      </c>
      <c r="D66" s="65" t="s">
        <v>72</v>
      </c>
      <c r="E66" s="91" t="s">
        <v>197</v>
      </c>
      <c r="F66" s="91" t="s">
        <v>198</v>
      </c>
      <c r="G66" s="99">
        <v>9299.2</v>
      </c>
      <c r="H66" s="99">
        <v>2983.33</v>
      </c>
      <c r="I66" s="99"/>
      <c r="J66" s="99">
        <v>9299.2</v>
      </c>
      <c r="K66" s="87">
        <v>24</v>
      </c>
      <c r="L66" s="87">
        <v>24</v>
      </c>
      <c r="M66" s="99">
        <v>720</v>
      </c>
      <c r="N66" s="64">
        <v>2983.33</v>
      </c>
      <c r="O66" s="64">
        <v>830</v>
      </c>
      <c r="P66" s="64"/>
      <c r="Q66" s="64">
        <v>2153.3</v>
      </c>
      <c r="R66" s="64"/>
      <c r="S66" s="64">
        <f t="shared" si="83"/>
        <v>0.1946</v>
      </c>
      <c r="T66" s="64">
        <f t="shared" si="84"/>
        <v>1</v>
      </c>
      <c r="U66" s="64">
        <f t="shared" si="85"/>
        <v>3200</v>
      </c>
      <c r="V66" s="64">
        <f t="shared" si="86"/>
        <v>3200</v>
      </c>
      <c r="W66" s="64">
        <f t="shared" si="87"/>
        <v>623</v>
      </c>
      <c r="X66" s="64">
        <f t="shared" si="88"/>
        <v>623</v>
      </c>
      <c r="Y66" s="64"/>
      <c r="Z66" s="64">
        <f t="shared" si="64"/>
        <v>623</v>
      </c>
      <c r="AA66" s="64">
        <v>2022.4</v>
      </c>
      <c r="AB66" s="64">
        <v>2023.8</v>
      </c>
      <c r="AC66" s="87"/>
    </row>
    <row r="67" s="42" customFormat="true" spans="1:29">
      <c r="A67" s="64">
        <v>1</v>
      </c>
      <c r="B67" s="90" t="s">
        <v>199</v>
      </c>
      <c r="C67" s="91">
        <v>3</v>
      </c>
      <c r="D67" s="92"/>
      <c r="E67" s="92"/>
      <c r="F67" s="92"/>
      <c r="G67" s="99">
        <f t="shared" ref="G67:J67" si="91">G68+G69+G70</f>
        <v>9100</v>
      </c>
      <c r="H67" s="99">
        <f t="shared" si="91"/>
        <v>2465.8</v>
      </c>
      <c r="I67" s="99">
        <f t="shared" si="91"/>
        <v>0</v>
      </c>
      <c r="J67" s="99">
        <f t="shared" si="91"/>
        <v>9100</v>
      </c>
      <c r="K67" s="99">
        <v>27</v>
      </c>
      <c r="L67" s="99">
        <f t="shared" ref="L67:R67" si="92">L68+L69+L70</f>
        <v>27</v>
      </c>
      <c r="M67" s="99">
        <f t="shared" si="92"/>
        <v>810</v>
      </c>
      <c r="N67" s="104">
        <f t="shared" si="92"/>
        <v>2465.8</v>
      </c>
      <c r="O67" s="104">
        <f t="shared" si="92"/>
        <v>2465.8</v>
      </c>
      <c r="P67" s="104">
        <f t="shared" si="92"/>
        <v>0</v>
      </c>
      <c r="Q67" s="104">
        <f t="shared" si="92"/>
        <v>0</v>
      </c>
      <c r="R67" s="104">
        <f t="shared" si="92"/>
        <v>0</v>
      </c>
      <c r="S67" s="64">
        <f>VLOOKUP(B67,[1]补助标准!B:L,7,FALSE)</f>
        <v>0.1946</v>
      </c>
      <c r="T67" s="104"/>
      <c r="U67" s="104"/>
      <c r="V67" s="104"/>
      <c r="W67" s="104">
        <f>SUM(W68:W70)</f>
        <v>1460</v>
      </c>
      <c r="X67" s="107">
        <f>SUM(X68:X70)</f>
        <v>1460</v>
      </c>
      <c r="Y67" s="107"/>
      <c r="Z67" s="82">
        <f t="shared" si="64"/>
        <v>1460</v>
      </c>
      <c r="AA67" s="99"/>
      <c r="AB67" s="99"/>
      <c r="AC67" s="99"/>
    </row>
    <row r="68" s="42" customFormat="true" ht="25.5" spans="1:29">
      <c r="A68" s="64">
        <v>1</v>
      </c>
      <c r="B68" s="65" t="s">
        <v>200</v>
      </c>
      <c r="C68" s="66" t="s">
        <v>201</v>
      </c>
      <c r="D68" s="65" t="s">
        <v>72</v>
      </c>
      <c r="E68" s="65" t="s">
        <v>202</v>
      </c>
      <c r="F68" s="65" t="s">
        <v>203</v>
      </c>
      <c r="G68" s="64">
        <v>3200</v>
      </c>
      <c r="H68" s="64">
        <v>867</v>
      </c>
      <c r="I68" s="64"/>
      <c r="J68" s="64">
        <v>3200</v>
      </c>
      <c r="K68" s="64">
        <v>9</v>
      </c>
      <c r="L68" s="64">
        <v>9</v>
      </c>
      <c r="M68" s="64">
        <v>270</v>
      </c>
      <c r="N68" s="104">
        <f t="shared" ref="N68:N70" si="93">O68+P68+Q68+R68</f>
        <v>867</v>
      </c>
      <c r="O68" s="103">
        <v>867</v>
      </c>
      <c r="P68" s="103"/>
      <c r="Q68" s="103"/>
      <c r="R68" s="103"/>
      <c r="S68" s="64">
        <f t="shared" si="83"/>
        <v>0.1946</v>
      </c>
      <c r="T68" s="64">
        <f t="shared" si="84"/>
        <v>1</v>
      </c>
      <c r="U68" s="64">
        <f t="shared" si="85"/>
        <v>2500</v>
      </c>
      <c r="V68" s="64">
        <f t="shared" si="86"/>
        <v>2500</v>
      </c>
      <c r="W68" s="64">
        <f t="shared" si="87"/>
        <v>487</v>
      </c>
      <c r="X68" s="64">
        <f t="shared" si="88"/>
        <v>487</v>
      </c>
      <c r="Y68" s="64"/>
      <c r="Z68" s="64">
        <f t="shared" si="64"/>
        <v>487</v>
      </c>
      <c r="AA68" s="64">
        <v>2022.09</v>
      </c>
      <c r="AB68" s="64">
        <v>2023.12</v>
      </c>
      <c r="AC68" s="64"/>
    </row>
    <row r="69" s="42" customFormat="true" ht="25.5" spans="1:29">
      <c r="A69" s="64">
        <v>2</v>
      </c>
      <c r="B69" s="65" t="s">
        <v>204</v>
      </c>
      <c r="C69" s="66" t="s">
        <v>205</v>
      </c>
      <c r="D69" s="65" t="s">
        <v>72</v>
      </c>
      <c r="E69" s="65" t="s">
        <v>206</v>
      </c>
      <c r="F69" s="65" t="s">
        <v>203</v>
      </c>
      <c r="G69" s="64">
        <v>1800</v>
      </c>
      <c r="H69" s="64">
        <v>487.8</v>
      </c>
      <c r="I69" s="64"/>
      <c r="J69" s="64">
        <v>1800</v>
      </c>
      <c r="K69" s="64">
        <v>6</v>
      </c>
      <c r="L69" s="64">
        <v>6</v>
      </c>
      <c r="M69" s="64">
        <v>180</v>
      </c>
      <c r="N69" s="104">
        <f t="shared" si="93"/>
        <v>487.8</v>
      </c>
      <c r="O69" s="103">
        <v>487.8</v>
      </c>
      <c r="P69" s="103"/>
      <c r="Q69" s="103"/>
      <c r="R69" s="103"/>
      <c r="S69" s="64">
        <f>S67</f>
        <v>0.1946</v>
      </c>
      <c r="T69" s="64">
        <f t="shared" si="84"/>
        <v>1</v>
      </c>
      <c r="U69" s="64">
        <f t="shared" si="85"/>
        <v>1800</v>
      </c>
      <c r="V69" s="64">
        <f t="shared" si="86"/>
        <v>1800</v>
      </c>
      <c r="W69" s="64">
        <f t="shared" si="87"/>
        <v>350</v>
      </c>
      <c r="X69" s="64">
        <f t="shared" si="88"/>
        <v>350</v>
      </c>
      <c r="Y69" s="64"/>
      <c r="Z69" s="64">
        <f t="shared" si="64"/>
        <v>350</v>
      </c>
      <c r="AA69" s="64">
        <v>2022.09</v>
      </c>
      <c r="AB69" s="64">
        <v>2023.12</v>
      </c>
      <c r="AC69" s="64"/>
    </row>
    <row r="70" s="42" customFormat="true" ht="25.5" spans="1:29">
      <c r="A70" s="64">
        <v>3</v>
      </c>
      <c r="B70" s="65" t="s">
        <v>207</v>
      </c>
      <c r="C70" s="66" t="s">
        <v>208</v>
      </c>
      <c r="D70" s="65" t="s">
        <v>72</v>
      </c>
      <c r="E70" s="65" t="s">
        <v>209</v>
      </c>
      <c r="F70" s="65" t="s">
        <v>203</v>
      </c>
      <c r="G70" s="64">
        <v>4100</v>
      </c>
      <c r="H70" s="64">
        <v>1111</v>
      </c>
      <c r="I70" s="64"/>
      <c r="J70" s="64">
        <v>4100</v>
      </c>
      <c r="K70" s="64">
        <v>12</v>
      </c>
      <c r="L70" s="64">
        <v>12</v>
      </c>
      <c r="M70" s="64">
        <v>360</v>
      </c>
      <c r="N70" s="104">
        <f t="shared" si="93"/>
        <v>1111</v>
      </c>
      <c r="O70" s="103">
        <v>1111</v>
      </c>
      <c r="P70" s="103"/>
      <c r="Q70" s="103"/>
      <c r="R70" s="103"/>
      <c r="S70" s="64">
        <f>S67</f>
        <v>0.1946</v>
      </c>
      <c r="T70" s="64">
        <f t="shared" si="84"/>
        <v>1</v>
      </c>
      <c r="U70" s="64">
        <f t="shared" si="85"/>
        <v>3200</v>
      </c>
      <c r="V70" s="64">
        <f t="shared" si="86"/>
        <v>3200</v>
      </c>
      <c r="W70" s="64">
        <f t="shared" si="87"/>
        <v>623</v>
      </c>
      <c r="X70" s="64">
        <f t="shared" si="88"/>
        <v>623</v>
      </c>
      <c r="Y70" s="64"/>
      <c r="Z70" s="64">
        <f t="shared" si="64"/>
        <v>623</v>
      </c>
      <c r="AA70" s="64">
        <v>2022.09</v>
      </c>
      <c r="AB70" s="64">
        <v>2023.12</v>
      </c>
      <c r="AC70" s="64"/>
    </row>
    <row r="71" s="42" customFormat="true" spans="1:29">
      <c r="A71" s="64">
        <v>1</v>
      </c>
      <c r="B71" s="90" t="s">
        <v>210</v>
      </c>
      <c r="C71" s="65">
        <v>1</v>
      </c>
      <c r="D71" s="65"/>
      <c r="E71" s="65"/>
      <c r="F71" s="65"/>
      <c r="G71" s="64">
        <f t="shared" ref="G71:J71" si="94">G72</f>
        <v>1300</v>
      </c>
      <c r="H71" s="64">
        <f t="shared" si="94"/>
        <v>390</v>
      </c>
      <c r="I71" s="64">
        <f t="shared" si="94"/>
        <v>200</v>
      </c>
      <c r="J71" s="64">
        <f t="shared" si="94"/>
        <v>1300</v>
      </c>
      <c r="K71" s="64">
        <v>6</v>
      </c>
      <c r="L71" s="64">
        <f t="shared" ref="L71:R71" si="95">L72</f>
        <v>15</v>
      </c>
      <c r="M71" s="64">
        <f t="shared" si="95"/>
        <v>180</v>
      </c>
      <c r="N71" s="103">
        <f t="shared" si="95"/>
        <v>590</v>
      </c>
      <c r="O71" s="103">
        <f t="shared" si="95"/>
        <v>362</v>
      </c>
      <c r="P71" s="103">
        <f t="shared" si="95"/>
        <v>0</v>
      </c>
      <c r="Q71" s="103">
        <f t="shared" si="95"/>
        <v>228</v>
      </c>
      <c r="R71" s="103">
        <f t="shared" si="95"/>
        <v>0</v>
      </c>
      <c r="S71" s="64">
        <f>VLOOKUP(B71,[1]补助标准!B:L,7,FALSE)</f>
        <v>0.1946</v>
      </c>
      <c r="T71" s="103"/>
      <c r="U71" s="103"/>
      <c r="V71" s="103"/>
      <c r="W71" s="103">
        <f>W72</f>
        <v>253</v>
      </c>
      <c r="X71" s="86">
        <f>X72</f>
        <v>253</v>
      </c>
      <c r="Y71" s="86"/>
      <c r="Z71" s="82">
        <f t="shared" si="64"/>
        <v>253</v>
      </c>
      <c r="AA71" s="64"/>
      <c r="AB71" s="64"/>
      <c r="AC71" s="64"/>
    </row>
    <row r="72" s="42" customFormat="true" ht="25.5" spans="1:29">
      <c r="A72" s="64">
        <v>1</v>
      </c>
      <c r="B72" s="65" t="s">
        <v>211</v>
      </c>
      <c r="C72" s="93" t="s">
        <v>212</v>
      </c>
      <c r="D72" s="65" t="s">
        <v>72</v>
      </c>
      <c r="E72" s="65" t="s">
        <v>213</v>
      </c>
      <c r="F72" s="100" t="s">
        <v>214</v>
      </c>
      <c r="G72" s="64">
        <v>1300</v>
      </c>
      <c r="H72" s="64">
        <v>390</v>
      </c>
      <c r="I72" s="64">
        <v>200</v>
      </c>
      <c r="J72" s="64">
        <v>1300</v>
      </c>
      <c r="K72" s="64">
        <v>6</v>
      </c>
      <c r="L72" s="64">
        <v>15</v>
      </c>
      <c r="M72" s="64">
        <v>180</v>
      </c>
      <c r="N72" s="104">
        <f>O72+P72+Q72+R72</f>
        <v>590</v>
      </c>
      <c r="O72" s="103">
        <v>362</v>
      </c>
      <c r="P72" s="103"/>
      <c r="Q72" s="103">
        <v>228</v>
      </c>
      <c r="R72" s="103"/>
      <c r="S72" s="64">
        <f>S71</f>
        <v>0.1946</v>
      </c>
      <c r="T72" s="64">
        <f t="shared" ref="T72:T81" si="96">IF(D72="扶持",0.4,(IF(D72="新建",1,IF(D72="改建",0.45,IF(D72="扩建",0.6,IF(D72="配建",0.4,0))))))</f>
        <v>1</v>
      </c>
      <c r="U72" s="64">
        <f t="shared" ref="U72:U81" si="97">IF(L72&gt;=12,3200,IF(L72&gt;=9,2500,IF(L72&gt;=6,1800,1200)))</f>
        <v>3200</v>
      </c>
      <c r="V72" s="64">
        <f t="shared" ref="V72:V81" si="98">ROUND(MIN(G72,U72),0)</f>
        <v>1300</v>
      </c>
      <c r="W72" s="64">
        <f t="shared" ref="W72:W81" si="99">ROUND(S72*V72*T72,0)</f>
        <v>253</v>
      </c>
      <c r="X72" s="64">
        <f t="shared" ref="X72:X81" si="100">MIN(W72,O72)</f>
        <v>253</v>
      </c>
      <c r="Y72" s="64"/>
      <c r="Z72" s="64">
        <f t="shared" si="64"/>
        <v>253</v>
      </c>
      <c r="AA72" s="64">
        <v>2022.12</v>
      </c>
      <c r="AB72" s="64">
        <v>2023.12</v>
      </c>
      <c r="AC72" s="64"/>
    </row>
    <row r="73" s="42" customFormat="true" spans="1:29">
      <c r="A73" s="64">
        <v>1</v>
      </c>
      <c r="B73" s="71" t="s">
        <v>215</v>
      </c>
      <c r="C73" s="65">
        <v>8</v>
      </c>
      <c r="D73" s="65"/>
      <c r="E73" s="65"/>
      <c r="F73" s="65"/>
      <c r="G73" s="64">
        <f t="shared" ref="G73:J73" si="101">SUM(G74:G81)</f>
        <v>45188.45</v>
      </c>
      <c r="H73" s="64">
        <f t="shared" si="101"/>
        <v>2500</v>
      </c>
      <c r="I73" s="64">
        <f t="shared" si="101"/>
        <v>2555</v>
      </c>
      <c r="J73" s="64">
        <f t="shared" si="101"/>
        <v>45188.45</v>
      </c>
      <c r="K73" s="64">
        <v>108</v>
      </c>
      <c r="L73" s="64">
        <f t="shared" ref="L73:R73" si="102">SUM(L74:L81)</f>
        <v>108</v>
      </c>
      <c r="M73" s="64">
        <f t="shared" si="102"/>
        <v>3240</v>
      </c>
      <c r="N73" s="64">
        <f t="shared" si="102"/>
        <v>5055</v>
      </c>
      <c r="O73" s="64">
        <f t="shared" si="102"/>
        <v>2555</v>
      </c>
      <c r="P73" s="64">
        <f t="shared" si="102"/>
        <v>0</v>
      </c>
      <c r="Q73" s="64">
        <f t="shared" si="102"/>
        <v>0</v>
      </c>
      <c r="R73" s="64">
        <f t="shared" si="102"/>
        <v>2500</v>
      </c>
      <c r="S73" s="64">
        <f>VLOOKUP(B73,[1]补助标准!B:L,7,FALSE)</f>
        <v>0.1946</v>
      </c>
      <c r="T73" s="64"/>
      <c r="U73" s="64"/>
      <c r="V73" s="64"/>
      <c r="W73" s="64">
        <f>SUM(W74:W81)</f>
        <v>1938</v>
      </c>
      <c r="X73" s="64">
        <f>SUM(X74:X81)</f>
        <v>1938</v>
      </c>
      <c r="Y73" s="64"/>
      <c r="Z73" s="82">
        <f t="shared" si="64"/>
        <v>1938</v>
      </c>
      <c r="AA73" s="64"/>
      <c r="AB73" s="64"/>
      <c r="AC73" s="64"/>
    </row>
    <row r="74" s="42" customFormat="true" ht="25.5" spans="1:29">
      <c r="A74" s="64">
        <v>1</v>
      </c>
      <c r="B74" s="65" t="s">
        <v>216</v>
      </c>
      <c r="C74" s="66" t="s">
        <v>217</v>
      </c>
      <c r="D74" s="65" t="s">
        <v>81</v>
      </c>
      <c r="E74" s="65"/>
      <c r="F74" s="100" t="s">
        <v>218</v>
      </c>
      <c r="G74" s="64">
        <v>4800</v>
      </c>
      <c r="H74" s="64">
        <v>300</v>
      </c>
      <c r="I74" s="64">
        <v>320</v>
      </c>
      <c r="J74" s="64">
        <v>4800</v>
      </c>
      <c r="K74" s="64">
        <v>12</v>
      </c>
      <c r="L74" s="64">
        <v>12</v>
      </c>
      <c r="M74" s="64">
        <v>360</v>
      </c>
      <c r="N74" s="64">
        <f t="shared" ref="N74:N81" si="103">O74+R74</f>
        <v>620</v>
      </c>
      <c r="O74" s="64">
        <v>320</v>
      </c>
      <c r="P74" s="64"/>
      <c r="Q74" s="64"/>
      <c r="R74" s="64">
        <v>300</v>
      </c>
      <c r="S74" s="64">
        <f>S73</f>
        <v>0.1946</v>
      </c>
      <c r="T74" s="64">
        <f t="shared" si="96"/>
        <v>0.4</v>
      </c>
      <c r="U74" s="64">
        <f t="shared" si="97"/>
        <v>3200</v>
      </c>
      <c r="V74" s="64">
        <f t="shared" si="98"/>
        <v>3200</v>
      </c>
      <c r="W74" s="64">
        <f t="shared" si="99"/>
        <v>249</v>
      </c>
      <c r="X74" s="64">
        <f t="shared" si="100"/>
        <v>249</v>
      </c>
      <c r="Y74" s="64"/>
      <c r="Z74" s="64">
        <f t="shared" ref="Z74:Z92" si="104">X74+Y74</f>
        <v>249</v>
      </c>
      <c r="AA74" s="64">
        <v>2022.5</v>
      </c>
      <c r="AB74" s="64">
        <v>2022.8</v>
      </c>
      <c r="AC74" s="64"/>
    </row>
    <row r="75" s="42" customFormat="true" ht="38.25" spans="1:29">
      <c r="A75" s="64">
        <v>2</v>
      </c>
      <c r="B75" s="65" t="s">
        <v>219</v>
      </c>
      <c r="C75" s="66" t="s">
        <v>220</v>
      </c>
      <c r="D75" s="65" t="s">
        <v>81</v>
      </c>
      <c r="E75" s="65"/>
      <c r="F75" s="100" t="s">
        <v>218</v>
      </c>
      <c r="G75" s="64">
        <v>5517</v>
      </c>
      <c r="H75" s="64">
        <v>300</v>
      </c>
      <c r="I75" s="64">
        <v>335</v>
      </c>
      <c r="J75" s="64">
        <v>5517</v>
      </c>
      <c r="K75" s="64">
        <v>12</v>
      </c>
      <c r="L75" s="64">
        <v>12</v>
      </c>
      <c r="M75" s="64">
        <v>360</v>
      </c>
      <c r="N75" s="64">
        <f t="shared" si="103"/>
        <v>635</v>
      </c>
      <c r="O75" s="64">
        <v>335</v>
      </c>
      <c r="P75" s="64"/>
      <c r="Q75" s="64"/>
      <c r="R75" s="64">
        <v>300</v>
      </c>
      <c r="S75" s="64">
        <f t="shared" ref="S75:S81" si="105">$S$73</f>
        <v>0.1946</v>
      </c>
      <c r="T75" s="64">
        <f t="shared" si="96"/>
        <v>0.4</v>
      </c>
      <c r="U75" s="64">
        <f t="shared" si="97"/>
        <v>3200</v>
      </c>
      <c r="V75" s="64">
        <f t="shared" si="98"/>
        <v>3200</v>
      </c>
      <c r="W75" s="64">
        <f t="shared" si="99"/>
        <v>249</v>
      </c>
      <c r="X75" s="64">
        <f t="shared" si="100"/>
        <v>249</v>
      </c>
      <c r="Y75" s="64"/>
      <c r="Z75" s="64">
        <f t="shared" si="104"/>
        <v>249</v>
      </c>
      <c r="AA75" s="64">
        <v>2022.5</v>
      </c>
      <c r="AB75" s="64">
        <v>2022.8</v>
      </c>
      <c r="AC75" s="64"/>
    </row>
    <row r="76" s="42" customFormat="true" ht="25.5" spans="1:29">
      <c r="A76" s="64">
        <v>3</v>
      </c>
      <c r="B76" s="65" t="s">
        <v>221</v>
      </c>
      <c r="C76" s="66" t="s">
        <v>222</v>
      </c>
      <c r="D76" s="65" t="s">
        <v>81</v>
      </c>
      <c r="E76" s="65"/>
      <c r="F76" s="100" t="s">
        <v>218</v>
      </c>
      <c r="G76" s="64">
        <v>8005</v>
      </c>
      <c r="H76" s="64">
        <v>350</v>
      </c>
      <c r="I76" s="64">
        <v>350</v>
      </c>
      <c r="J76" s="64">
        <v>8005</v>
      </c>
      <c r="K76" s="64">
        <v>15</v>
      </c>
      <c r="L76" s="64">
        <v>15</v>
      </c>
      <c r="M76" s="64">
        <v>450</v>
      </c>
      <c r="N76" s="64">
        <f t="shared" si="103"/>
        <v>700</v>
      </c>
      <c r="O76" s="64">
        <v>350</v>
      </c>
      <c r="P76" s="64"/>
      <c r="Q76" s="64"/>
      <c r="R76" s="64">
        <v>350</v>
      </c>
      <c r="S76" s="64">
        <f t="shared" si="105"/>
        <v>0.1946</v>
      </c>
      <c r="T76" s="64">
        <f t="shared" si="96"/>
        <v>0.4</v>
      </c>
      <c r="U76" s="64">
        <f t="shared" si="97"/>
        <v>3200</v>
      </c>
      <c r="V76" s="64">
        <f t="shared" si="98"/>
        <v>3200</v>
      </c>
      <c r="W76" s="64">
        <f t="shared" si="99"/>
        <v>249</v>
      </c>
      <c r="X76" s="64">
        <f t="shared" si="100"/>
        <v>249</v>
      </c>
      <c r="Y76" s="64"/>
      <c r="Z76" s="64">
        <f t="shared" si="104"/>
        <v>249</v>
      </c>
      <c r="AA76" s="64">
        <v>2022.09</v>
      </c>
      <c r="AB76" s="64">
        <v>2022.12</v>
      </c>
      <c r="AC76" s="64"/>
    </row>
    <row r="77" s="42" customFormat="true" ht="25.5" spans="1:29">
      <c r="A77" s="64">
        <v>4</v>
      </c>
      <c r="B77" s="65" t="s">
        <v>221</v>
      </c>
      <c r="C77" s="66" t="s">
        <v>223</v>
      </c>
      <c r="D77" s="65" t="s">
        <v>81</v>
      </c>
      <c r="E77" s="65"/>
      <c r="F77" s="100" t="s">
        <v>218</v>
      </c>
      <c r="G77" s="64">
        <v>8012</v>
      </c>
      <c r="H77" s="64">
        <v>350</v>
      </c>
      <c r="I77" s="64">
        <v>350</v>
      </c>
      <c r="J77" s="64">
        <v>8012</v>
      </c>
      <c r="K77" s="64">
        <v>15</v>
      </c>
      <c r="L77" s="64">
        <v>15</v>
      </c>
      <c r="M77" s="64">
        <v>450</v>
      </c>
      <c r="N77" s="64">
        <f t="shared" si="103"/>
        <v>700</v>
      </c>
      <c r="O77" s="64">
        <v>350</v>
      </c>
      <c r="P77" s="64"/>
      <c r="Q77" s="64"/>
      <c r="R77" s="64">
        <v>350</v>
      </c>
      <c r="S77" s="64">
        <f t="shared" si="105"/>
        <v>0.1946</v>
      </c>
      <c r="T77" s="64">
        <f t="shared" si="96"/>
        <v>0.4</v>
      </c>
      <c r="U77" s="64">
        <f t="shared" si="97"/>
        <v>3200</v>
      </c>
      <c r="V77" s="64">
        <f t="shared" si="98"/>
        <v>3200</v>
      </c>
      <c r="W77" s="64">
        <f t="shared" si="99"/>
        <v>249</v>
      </c>
      <c r="X77" s="64">
        <f t="shared" si="100"/>
        <v>249</v>
      </c>
      <c r="Y77" s="64"/>
      <c r="Z77" s="64">
        <f t="shared" si="104"/>
        <v>249</v>
      </c>
      <c r="AA77" s="64">
        <v>2022.09</v>
      </c>
      <c r="AB77" s="64">
        <v>2022.12</v>
      </c>
      <c r="AC77" s="64"/>
    </row>
    <row r="78" s="42" customFormat="true" ht="25.5" spans="1:29">
      <c r="A78" s="64">
        <v>5</v>
      </c>
      <c r="B78" s="65" t="s">
        <v>221</v>
      </c>
      <c r="C78" s="66" t="s">
        <v>224</v>
      </c>
      <c r="D78" s="65" t="s">
        <v>81</v>
      </c>
      <c r="E78" s="65"/>
      <c r="F78" s="100" t="s">
        <v>218</v>
      </c>
      <c r="G78" s="64">
        <v>4839.38</v>
      </c>
      <c r="H78" s="64">
        <v>300</v>
      </c>
      <c r="I78" s="64">
        <v>300</v>
      </c>
      <c r="J78" s="64">
        <v>4839.38</v>
      </c>
      <c r="K78" s="64">
        <v>18</v>
      </c>
      <c r="L78" s="64">
        <v>18</v>
      </c>
      <c r="M78" s="64">
        <v>540</v>
      </c>
      <c r="N78" s="64">
        <f t="shared" si="103"/>
        <v>600</v>
      </c>
      <c r="O78" s="64">
        <v>300</v>
      </c>
      <c r="P78" s="64"/>
      <c r="Q78" s="64"/>
      <c r="R78" s="64">
        <v>300</v>
      </c>
      <c r="S78" s="64">
        <f t="shared" si="105"/>
        <v>0.1946</v>
      </c>
      <c r="T78" s="64">
        <f t="shared" si="96"/>
        <v>0.4</v>
      </c>
      <c r="U78" s="64">
        <f t="shared" si="97"/>
        <v>3200</v>
      </c>
      <c r="V78" s="64">
        <f t="shared" si="98"/>
        <v>3200</v>
      </c>
      <c r="W78" s="64">
        <f t="shared" si="99"/>
        <v>249</v>
      </c>
      <c r="X78" s="64">
        <f t="shared" si="100"/>
        <v>249</v>
      </c>
      <c r="Y78" s="64"/>
      <c r="Z78" s="64">
        <f t="shared" si="104"/>
        <v>249</v>
      </c>
      <c r="AA78" s="64">
        <v>2022.09</v>
      </c>
      <c r="AB78" s="64">
        <v>2022.12</v>
      </c>
      <c r="AC78" s="64"/>
    </row>
    <row r="79" s="42" customFormat="true" ht="25.5" spans="1:29">
      <c r="A79" s="64">
        <v>6</v>
      </c>
      <c r="B79" s="65" t="s">
        <v>221</v>
      </c>
      <c r="C79" s="66" t="s">
        <v>225</v>
      </c>
      <c r="D79" s="65" t="s">
        <v>81</v>
      </c>
      <c r="E79" s="65"/>
      <c r="F79" s="100" t="s">
        <v>218</v>
      </c>
      <c r="G79" s="64">
        <v>3935.07</v>
      </c>
      <c r="H79" s="64">
        <v>300</v>
      </c>
      <c r="I79" s="64">
        <v>300</v>
      </c>
      <c r="J79" s="64">
        <v>3935.07</v>
      </c>
      <c r="K79" s="64">
        <v>15</v>
      </c>
      <c r="L79" s="64">
        <v>15</v>
      </c>
      <c r="M79" s="64">
        <v>450</v>
      </c>
      <c r="N79" s="64">
        <f t="shared" si="103"/>
        <v>600</v>
      </c>
      <c r="O79" s="64">
        <v>300</v>
      </c>
      <c r="P79" s="64"/>
      <c r="Q79" s="64"/>
      <c r="R79" s="64">
        <v>300</v>
      </c>
      <c r="S79" s="64">
        <f t="shared" si="105"/>
        <v>0.1946</v>
      </c>
      <c r="T79" s="64">
        <f t="shared" si="96"/>
        <v>0.4</v>
      </c>
      <c r="U79" s="64">
        <f t="shared" si="97"/>
        <v>3200</v>
      </c>
      <c r="V79" s="64">
        <f t="shared" si="98"/>
        <v>3200</v>
      </c>
      <c r="W79" s="64">
        <f t="shared" si="99"/>
        <v>249</v>
      </c>
      <c r="X79" s="64">
        <f t="shared" si="100"/>
        <v>249</v>
      </c>
      <c r="Y79" s="64"/>
      <c r="Z79" s="64">
        <f t="shared" si="104"/>
        <v>249</v>
      </c>
      <c r="AA79" s="64">
        <v>2022.03</v>
      </c>
      <c r="AB79" s="64">
        <v>2022.05</v>
      </c>
      <c r="AC79" s="64"/>
    </row>
    <row r="80" s="42" customFormat="true" ht="38.25" spans="1:29">
      <c r="A80" s="64">
        <v>7</v>
      </c>
      <c r="B80" s="65" t="s">
        <v>226</v>
      </c>
      <c r="C80" s="66" t="s">
        <v>227</v>
      </c>
      <c r="D80" s="65" t="s">
        <v>81</v>
      </c>
      <c r="E80" s="65" t="s">
        <v>228</v>
      </c>
      <c r="F80" s="100" t="s">
        <v>218</v>
      </c>
      <c r="G80" s="64">
        <v>4365</v>
      </c>
      <c r="H80" s="64">
        <v>300</v>
      </c>
      <c r="I80" s="64">
        <v>300</v>
      </c>
      <c r="J80" s="64">
        <v>4365</v>
      </c>
      <c r="K80" s="64">
        <v>9</v>
      </c>
      <c r="L80" s="64">
        <v>9</v>
      </c>
      <c r="M80" s="64">
        <v>270</v>
      </c>
      <c r="N80" s="64">
        <f t="shared" si="103"/>
        <v>600</v>
      </c>
      <c r="O80" s="64">
        <v>300</v>
      </c>
      <c r="P80" s="64"/>
      <c r="Q80" s="64"/>
      <c r="R80" s="64">
        <v>300</v>
      </c>
      <c r="S80" s="64">
        <f t="shared" si="105"/>
        <v>0.1946</v>
      </c>
      <c r="T80" s="64">
        <f t="shared" si="96"/>
        <v>0.4</v>
      </c>
      <c r="U80" s="64">
        <f t="shared" si="97"/>
        <v>2500</v>
      </c>
      <c r="V80" s="64">
        <f t="shared" si="98"/>
        <v>2500</v>
      </c>
      <c r="W80" s="64">
        <f t="shared" si="99"/>
        <v>195</v>
      </c>
      <c r="X80" s="64">
        <f t="shared" si="100"/>
        <v>195</v>
      </c>
      <c r="Y80" s="64"/>
      <c r="Z80" s="64">
        <f t="shared" si="104"/>
        <v>195</v>
      </c>
      <c r="AA80" s="64">
        <v>2022.09</v>
      </c>
      <c r="AB80" s="64">
        <v>2022.12</v>
      </c>
      <c r="AC80" s="64"/>
    </row>
    <row r="81" s="42" customFormat="true" ht="25.5" spans="1:29">
      <c r="A81" s="64">
        <v>8</v>
      </c>
      <c r="B81" s="65" t="s">
        <v>229</v>
      </c>
      <c r="C81" s="66" t="s">
        <v>230</v>
      </c>
      <c r="D81" s="65" t="s">
        <v>81</v>
      </c>
      <c r="E81" s="65" t="s">
        <v>231</v>
      </c>
      <c r="F81" s="100" t="s">
        <v>218</v>
      </c>
      <c r="G81" s="64">
        <v>5715</v>
      </c>
      <c r="H81" s="64">
        <v>300</v>
      </c>
      <c r="I81" s="64">
        <v>300</v>
      </c>
      <c r="J81" s="64">
        <v>5715</v>
      </c>
      <c r="K81" s="64">
        <v>12</v>
      </c>
      <c r="L81" s="64">
        <v>12</v>
      </c>
      <c r="M81" s="64">
        <v>360</v>
      </c>
      <c r="N81" s="64">
        <f t="shared" si="103"/>
        <v>600</v>
      </c>
      <c r="O81" s="64">
        <v>300</v>
      </c>
      <c r="P81" s="64"/>
      <c r="Q81" s="64"/>
      <c r="R81" s="64">
        <v>300</v>
      </c>
      <c r="S81" s="64">
        <f t="shared" si="105"/>
        <v>0.1946</v>
      </c>
      <c r="T81" s="64">
        <f t="shared" si="96"/>
        <v>0.4</v>
      </c>
      <c r="U81" s="64">
        <f t="shared" si="97"/>
        <v>3200</v>
      </c>
      <c r="V81" s="64">
        <f t="shared" si="98"/>
        <v>3200</v>
      </c>
      <c r="W81" s="64">
        <f t="shared" si="99"/>
        <v>249</v>
      </c>
      <c r="X81" s="64">
        <f t="shared" si="100"/>
        <v>249</v>
      </c>
      <c r="Y81" s="64"/>
      <c r="Z81" s="64">
        <f t="shared" si="104"/>
        <v>249</v>
      </c>
      <c r="AA81" s="103">
        <v>2022.1</v>
      </c>
      <c r="AB81" s="64">
        <v>2022.12</v>
      </c>
      <c r="AC81" s="64"/>
    </row>
    <row r="82" s="42" customFormat="true" spans="1:29">
      <c r="A82" s="64">
        <v>1</v>
      </c>
      <c r="B82" s="94" t="s">
        <v>194</v>
      </c>
      <c r="C82" s="95">
        <v>2</v>
      </c>
      <c r="D82" s="95"/>
      <c r="E82" s="95"/>
      <c r="F82" s="95"/>
      <c r="G82" s="101">
        <f t="shared" ref="G82:J82" si="106">G83+G84</f>
        <v>12081.13</v>
      </c>
      <c r="H82" s="101">
        <f t="shared" si="106"/>
        <v>600</v>
      </c>
      <c r="I82" s="101">
        <f t="shared" si="106"/>
        <v>600</v>
      </c>
      <c r="J82" s="101">
        <f t="shared" si="106"/>
        <v>12081.13</v>
      </c>
      <c r="K82" s="101">
        <v>24</v>
      </c>
      <c r="L82" s="101">
        <f t="shared" ref="L82:R82" si="107">L83+L84</f>
        <v>24</v>
      </c>
      <c r="M82" s="101">
        <f t="shared" si="107"/>
        <v>720</v>
      </c>
      <c r="N82" s="105">
        <f t="shared" si="107"/>
        <v>1200</v>
      </c>
      <c r="O82" s="105">
        <f t="shared" si="107"/>
        <v>600</v>
      </c>
      <c r="P82" s="105">
        <f t="shared" si="107"/>
        <v>0</v>
      </c>
      <c r="Q82" s="105">
        <f t="shared" si="107"/>
        <v>0</v>
      </c>
      <c r="R82" s="105">
        <f t="shared" si="107"/>
        <v>600</v>
      </c>
      <c r="S82" s="64">
        <f>VLOOKUP(B82,[1]补助标准!B:L,7,FALSE)</f>
        <v>0.1946</v>
      </c>
      <c r="T82" s="105"/>
      <c r="U82" s="105"/>
      <c r="V82" s="105"/>
      <c r="W82" s="105">
        <f>SUM(W83:W84)</f>
        <v>498</v>
      </c>
      <c r="X82" s="108">
        <f>SUM(X83:X84)</f>
        <v>498</v>
      </c>
      <c r="Y82" s="108"/>
      <c r="Z82" s="82">
        <f t="shared" si="104"/>
        <v>498</v>
      </c>
      <c r="AA82" s="101"/>
      <c r="AB82" s="101"/>
      <c r="AC82" s="101"/>
    </row>
    <row r="83" s="42" customFormat="true" ht="25.5" spans="1:29">
      <c r="A83" s="96">
        <v>1</v>
      </c>
      <c r="B83" s="97" t="s">
        <v>232</v>
      </c>
      <c r="C83" s="98" t="s">
        <v>233</v>
      </c>
      <c r="D83" s="65" t="s">
        <v>81</v>
      </c>
      <c r="E83" s="102" t="s">
        <v>234</v>
      </c>
      <c r="F83" s="97" t="s">
        <v>235</v>
      </c>
      <c r="G83" s="101">
        <v>6581.13</v>
      </c>
      <c r="H83" s="101">
        <v>300</v>
      </c>
      <c r="I83" s="101">
        <v>300</v>
      </c>
      <c r="J83" s="101">
        <v>6581.13</v>
      </c>
      <c r="K83" s="96">
        <v>12</v>
      </c>
      <c r="L83" s="96">
        <v>12</v>
      </c>
      <c r="M83" s="101">
        <v>360</v>
      </c>
      <c r="N83" s="103">
        <f>O83+P83+Q83+R83</f>
        <v>600</v>
      </c>
      <c r="O83" s="105">
        <v>300</v>
      </c>
      <c r="P83" s="106"/>
      <c r="Q83" s="106"/>
      <c r="R83" s="106">
        <v>300</v>
      </c>
      <c r="S83" s="64">
        <f t="shared" ref="S83:S88" si="108">S82</f>
        <v>0.1946</v>
      </c>
      <c r="T83" s="64">
        <f t="shared" ref="T83:T86" si="109">IF(D83="扶持",0.4,(IF(D83="新建",1,IF(D83="改建",0.45,IF(D83="扩建",0.6,IF(D83="配建",0.4,0))))))</f>
        <v>0.4</v>
      </c>
      <c r="U83" s="64">
        <f t="shared" ref="U83:U86" si="110">IF(L83&gt;=12,3200,IF(L83&gt;=9,2500,IF(L83&gt;=6,1800,1200)))</f>
        <v>3200</v>
      </c>
      <c r="V83" s="64">
        <f t="shared" ref="V83:V86" si="111">ROUND(MIN(G83,U83),0)</f>
        <v>3200</v>
      </c>
      <c r="W83" s="64">
        <f t="shared" ref="W83:W86" si="112">ROUND(S83*V83*T83,0)</f>
        <v>249</v>
      </c>
      <c r="X83" s="64">
        <f t="shared" ref="X83:X86" si="113">MIN(W83,O83)</f>
        <v>249</v>
      </c>
      <c r="Y83" s="64"/>
      <c r="Z83" s="64">
        <f t="shared" si="104"/>
        <v>249</v>
      </c>
      <c r="AA83" s="96">
        <v>2022.06</v>
      </c>
      <c r="AB83" s="96">
        <v>2022.08</v>
      </c>
      <c r="AC83" s="96"/>
    </row>
    <row r="84" s="42" customFormat="true" ht="25.5" spans="1:29">
      <c r="A84" s="96">
        <v>2</v>
      </c>
      <c r="B84" s="97" t="s">
        <v>232</v>
      </c>
      <c r="C84" s="98" t="s">
        <v>236</v>
      </c>
      <c r="D84" s="65" t="s">
        <v>81</v>
      </c>
      <c r="E84" s="102" t="s">
        <v>237</v>
      </c>
      <c r="F84" s="97" t="s">
        <v>235</v>
      </c>
      <c r="G84" s="101">
        <v>5500</v>
      </c>
      <c r="H84" s="101">
        <v>300</v>
      </c>
      <c r="I84" s="101">
        <v>300</v>
      </c>
      <c r="J84" s="101">
        <v>5500</v>
      </c>
      <c r="K84" s="96">
        <v>12</v>
      </c>
      <c r="L84" s="96">
        <v>12</v>
      </c>
      <c r="M84" s="101">
        <v>360</v>
      </c>
      <c r="N84" s="103">
        <f>O84+P84+Q84+R84</f>
        <v>600</v>
      </c>
      <c r="O84" s="105">
        <v>300</v>
      </c>
      <c r="P84" s="106"/>
      <c r="Q84" s="106"/>
      <c r="R84" s="106">
        <v>300</v>
      </c>
      <c r="S84" s="64">
        <f>S82</f>
        <v>0.1946</v>
      </c>
      <c r="T84" s="64">
        <f t="shared" si="109"/>
        <v>0.4</v>
      </c>
      <c r="U84" s="64">
        <f t="shared" si="110"/>
        <v>3200</v>
      </c>
      <c r="V84" s="64">
        <f t="shared" si="111"/>
        <v>3200</v>
      </c>
      <c r="W84" s="64">
        <f t="shared" si="112"/>
        <v>249</v>
      </c>
      <c r="X84" s="64">
        <f t="shared" si="113"/>
        <v>249</v>
      </c>
      <c r="Y84" s="64"/>
      <c r="Z84" s="64">
        <f t="shared" si="104"/>
        <v>249</v>
      </c>
      <c r="AA84" s="96">
        <v>2022.06</v>
      </c>
      <c r="AB84" s="96">
        <v>2022.08</v>
      </c>
      <c r="AC84" s="96"/>
    </row>
    <row r="85" s="42" customFormat="true" ht="25.5" spans="1:29">
      <c r="A85" s="64">
        <v>1</v>
      </c>
      <c r="B85" s="71" t="s">
        <v>238</v>
      </c>
      <c r="C85" s="65">
        <v>1</v>
      </c>
      <c r="D85" s="65"/>
      <c r="E85" s="65"/>
      <c r="F85" s="65"/>
      <c r="G85" s="64">
        <f t="shared" ref="G85:J85" si="114">G86</f>
        <v>3350</v>
      </c>
      <c r="H85" s="64">
        <f t="shared" si="114"/>
        <v>80</v>
      </c>
      <c r="I85" s="64">
        <f t="shared" si="114"/>
        <v>300</v>
      </c>
      <c r="J85" s="64">
        <f t="shared" si="114"/>
        <v>3350</v>
      </c>
      <c r="K85" s="64">
        <v>12</v>
      </c>
      <c r="L85" s="64">
        <f t="shared" ref="L85:R85" si="115">L86</f>
        <v>12</v>
      </c>
      <c r="M85" s="64">
        <f t="shared" si="115"/>
        <v>360</v>
      </c>
      <c r="N85" s="64">
        <f t="shared" si="115"/>
        <v>380</v>
      </c>
      <c r="O85" s="64">
        <f t="shared" si="115"/>
        <v>362</v>
      </c>
      <c r="P85" s="64">
        <f t="shared" si="115"/>
        <v>0</v>
      </c>
      <c r="Q85" s="64">
        <f t="shared" si="115"/>
        <v>0</v>
      </c>
      <c r="R85" s="64">
        <f t="shared" si="115"/>
        <v>18</v>
      </c>
      <c r="S85" s="64">
        <f>VLOOKUP(B85,[1]补助标准!B:L,7,FALSE)</f>
        <v>0.1946</v>
      </c>
      <c r="T85" s="64"/>
      <c r="U85" s="64"/>
      <c r="V85" s="64"/>
      <c r="W85" s="64">
        <f>W86</f>
        <v>249</v>
      </c>
      <c r="X85" s="64">
        <f>X86</f>
        <v>249</v>
      </c>
      <c r="Y85" s="64"/>
      <c r="Z85" s="82">
        <f t="shared" si="104"/>
        <v>249</v>
      </c>
      <c r="AA85" s="64"/>
      <c r="AB85" s="64"/>
      <c r="AC85" s="64"/>
    </row>
    <row r="86" s="42" customFormat="true" ht="25.5" spans="1:29">
      <c r="A86" s="64">
        <v>1</v>
      </c>
      <c r="B86" s="65" t="s">
        <v>239</v>
      </c>
      <c r="C86" s="66" t="s">
        <v>240</v>
      </c>
      <c r="D86" s="65" t="s">
        <v>81</v>
      </c>
      <c r="E86" s="65"/>
      <c r="F86" s="65" t="s">
        <v>241</v>
      </c>
      <c r="G86" s="64">
        <v>3350</v>
      </c>
      <c r="H86" s="64">
        <v>80</v>
      </c>
      <c r="I86" s="64">
        <v>300</v>
      </c>
      <c r="J86" s="64">
        <v>3350</v>
      </c>
      <c r="K86" s="64">
        <v>12</v>
      </c>
      <c r="L86" s="64">
        <v>12</v>
      </c>
      <c r="M86" s="64">
        <v>360</v>
      </c>
      <c r="N86" s="64">
        <v>380</v>
      </c>
      <c r="O86" s="64">
        <v>362</v>
      </c>
      <c r="P86" s="64"/>
      <c r="Q86" s="64"/>
      <c r="R86" s="64">
        <v>18</v>
      </c>
      <c r="S86" s="64">
        <f t="shared" si="108"/>
        <v>0.1946</v>
      </c>
      <c r="T86" s="64">
        <f t="shared" si="109"/>
        <v>0.4</v>
      </c>
      <c r="U86" s="64">
        <f t="shared" si="110"/>
        <v>3200</v>
      </c>
      <c r="V86" s="64">
        <f t="shared" si="111"/>
        <v>3200</v>
      </c>
      <c r="W86" s="64">
        <f t="shared" si="112"/>
        <v>249</v>
      </c>
      <c r="X86" s="64">
        <f t="shared" si="113"/>
        <v>249</v>
      </c>
      <c r="Y86" s="64"/>
      <c r="Z86" s="64">
        <f t="shared" si="104"/>
        <v>249</v>
      </c>
      <c r="AA86" s="64">
        <v>2022.7</v>
      </c>
      <c r="AB86" s="64">
        <v>2022.8</v>
      </c>
      <c r="AC86" s="64"/>
    </row>
    <row r="87" s="42" customFormat="true" spans="1:29">
      <c r="A87" s="64">
        <v>1</v>
      </c>
      <c r="B87" s="71" t="s">
        <v>242</v>
      </c>
      <c r="C87" s="65">
        <v>3</v>
      </c>
      <c r="D87" s="65"/>
      <c r="E87" s="65"/>
      <c r="F87" s="65"/>
      <c r="G87" s="64">
        <f t="shared" ref="G87:J87" si="116">G88+G89+G90</f>
        <v>10520</v>
      </c>
      <c r="H87" s="64">
        <f t="shared" si="116"/>
        <v>900</v>
      </c>
      <c r="I87" s="64">
        <f t="shared" si="116"/>
        <v>950</v>
      </c>
      <c r="J87" s="64">
        <f t="shared" si="116"/>
        <v>10520</v>
      </c>
      <c r="K87" s="64">
        <v>30</v>
      </c>
      <c r="L87" s="64">
        <f t="shared" ref="L87:R87" si="117">L88+L89+L90</f>
        <v>30</v>
      </c>
      <c r="M87" s="64">
        <f t="shared" si="117"/>
        <v>900</v>
      </c>
      <c r="N87" s="64">
        <f t="shared" si="117"/>
        <v>1850</v>
      </c>
      <c r="O87" s="64">
        <f t="shared" si="117"/>
        <v>1200</v>
      </c>
      <c r="P87" s="64">
        <f t="shared" si="117"/>
        <v>0</v>
      </c>
      <c r="Q87" s="64">
        <f t="shared" si="117"/>
        <v>0</v>
      </c>
      <c r="R87" s="64">
        <f t="shared" si="117"/>
        <v>650</v>
      </c>
      <c r="S87" s="64">
        <f>VLOOKUP(B87,[1]补助标准!B:L,7,FALSE)</f>
        <v>0.1946</v>
      </c>
      <c r="T87" s="64"/>
      <c r="U87" s="64"/>
      <c r="V87" s="64"/>
      <c r="W87" s="64">
        <f>SUM(W88:W90)</f>
        <v>584</v>
      </c>
      <c r="X87" s="64">
        <f>SUM(X88:X90)</f>
        <v>584</v>
      </c>
      <c r="Y87" s="64"/>
      <c r="Z87" s="82">
        <f t="shared" si="104"/>
        <v>584</v>
      </c>
      <c r="AA87" s="64"/>
      <c r="AB87" s="64"/>
      <c r="AC87" s="64"/>
    </row>
    <row r="88" s="42" customFormat="true" ht="25.5" spans="1:29">
      <c r="A88" s="64">
        <v>1</v>
      </c>
      <c r="B88" s="65" t="s">
        <v>243</v>
      </c>
      <c r="C88" s="66" t="s">
        <v>244</v>
      </c>
      <c r="D88" s="65" t="s">
        <v>81</v>
      </c>
      <c r="E88" s="65"/>
      <c r="F88" s="65" t="s">
        <v>245</v>
      </c>
      <c r="G88" s="64">
        <v>4000</v>
      </c>
      <c r="H88" s="64">
        <v>300</v>
      </c>
      <c r="I88" s="64">
        <v>350</v>
      </c>
      <c r="J88" s="64">
        <v>4000</v>
      </c>
      <c r="K88" s="64">
        <v>15</v>
      </c>
      <c r="L88" s="64">
        <v>15</v>
      </c>
      <c r="M88" s="64">
        <v>450</v>
      </c>
      <c r="N88" s="64">
        <v>650</v>
      </c>
      <c r="O88" s="64">
        <v>400</v>
      </c>
      <c r="P88" s="64"/>
      <c r="Q88" s="64"/>
      <c r="R88" s="64">
        <v>250</v>
      </c>
      <c r="S88" s="64">
        <f t="shared" si="108"/>
        <v>0.1946</v>
      </c>
      <c r="T88" s="64">
        <f t="shared" ref="T88:T90" si="118">IF(D88="扶持",0.4,(IF(D88="新建",1,IF(D88="改建",0.45,IF(D88="扩建",0.6,IF(D88="配建",0.4,0))))))</f>
        <v>0.4</v>
      </c>
      <c r="U88" s="64">
        <f t="shared" ref="U88:U90" si="119">IF(L88&gt;=12,3200,IF(L88&gt;=9,2500,IF(L88&gt;=6,1800,1200)))</f>
        <v>3200</v>
      </c>
      <c r="V88" s="64">
        <f t="shared" ref="V88:V90" si="120">ROUND(MIN(G88,U88),0)</f>
        <v>3200</v>
      </c>
      <c r="W88" s="64">
        <f t="shared" ref="W88:W90" si="121">ROUND(S88*V88*T88,0)</f>
        <v>249</v>
      </c>
      <c r="X88" s="64">
        <f t="shared" ref="X88:X90" si="122">MIN(W88,O88)</f>
        <v>249</v>
      </c>
      <c r="Y88" s="64"/>
      <c r="Z88" s="64">
        <f t="shared" si="104"/>
        <v>249</v>
      </c>
      <c r="AA88" s="64">
        <v>2022.09</v>
      </c>
      <c r="AB88" s="64">
        <v>2022.12</v>
      </c>
      <c r="AC88" s="64"/>
    </row>
    <row r="89" s="42" customFormat="true" ht="25.5" spans="1:29">
      <c r="A89" s="64">
        <v>2</v>
      </c>
      <c r="B89" s="65" t="s">
        <v>246</v>
      </c>
      <c r="C89" s="66" t="s">
        <v>247</v>
      </c>
      <c r="D89" s="65" t="s">
        <v>81</v>
      </c>
      <c r="E89" s="65"/>
      <c r="F89" s="65" t="s">
        <v>245</v>
      </c>
      <c r="G89" s="64">
        <v>3840</v>
      </c>
      <c r="H89" s="64">
        <v>300</v>
      </c>
      <c r="I89" s="64">
        <v>300</v>
      </c>
      <c r="J89" s="64">
        <v>3840</v>
      </c>
      <c r="K89" s="64">
        <v>9</v>
      </c>
      <c r="L89" s="64">
        <v>9</v>
      </c>
      <c r="M89" s="64">
        <v>270</v>
      </c>
      <c r="N89" s="64">
        <v>600</v>
      </c>
      <c r="O89" s="64">
        <v>400</v>
      </c>
      <c r="P89" s="64"/>
      <c r="Q89" s="64"/>
      <c r="R89" s="64">
        <v>200</v>
      </c>
      <c r="S89" s="64">
        <f>S87</f>
        <v>0.1946</v>
      </c>
      <c r="T89" s="64">
        <f t="shared" si="118"/>
        <v>0.4</v>
      </c>
      <c r="U89" s="64">
        <f t="shared" si="119"/>
        <v>2500</v>
      </c>
      <c r="V89" s="64">
        <f t="shared" si="120"/>
        <v>2500</v>
      </c>
      <c r="W89" s="64">
        <f t="shared" si="121"/>
        <v>195</v>
      </c>
      <c r="X89" s="64">
        <f t="shared" si="122"/>
        <v>195</v>
      </c>
      <c r="Y89" s="64"/>
      <c r="Z89" s="64">
        <f t="shared" si="104"/>
        <v>195</v>
      </c>
      <c r="AA89" s="64">
        <v>2022.09</v>
      </c>
      <c r="AB89" s="64">
        <v>2022.12</v>
      </c>
      <c r="AC89" s="64"/>
    </row>
    <row r="90" s="42" customFormat="true" ht="25.5" spans="1:29">
      <c r="A90" s="64">
        <v>3</v>
      </c>
      <c r="B90" s="65" t="s">
        <v>248</v>
      </c>
      <c r="C90" s="66" t="s">
        <v>249</v>
      </c>
      <c r="D90" s="65" t="s">
        <v>81</v>
      </c>
      <c r="E90" s="65"/>
      <c r="F90" s="65" t="s">
        <v>245</v>
      </c>
      <c r="G90" s="64">
        <v>2680</v>
      </c>
      <c r="H90" s="64">
        <v>300</v>
      </c>
      <c r="I90" s="64">
        <v>300</v>
      </c>
      <c r="J90" s="64">
        <v>2680</v>
      </c>
      <c r="K90" s="64">
        <v>6</v>
      </c>
      <c r="L90" s="64">
        <v>6</v>
      </c>
      <c r="M90" s="64">
        <v>180</v>
      </c>
      <c r="N90" s="64">
        <v>600</v>
      </c>
      <c r="O90" s="64">
        <v>400</v>
      </c>
      <c r="P90" s="64"/>
      <c r="Q90" s="64"/>
      <c r="R90" s="64">
        <v>200</v>
      </c>
      <c r="S90" s="64">
        <f>S87</f>
        <v>0.1946</v>
      </c>
      <c r="T90" s="64">
        <f t="shared" si="118"/>
        <v>0.4</v>
      </c>
      <c r="U90" s="64">
        <f t="shared" si="119"/>
        <v>1800</v>
      </c>
      <c r="V90" s="64">
        <f t="shared" si="120"/>
        <v>1800</v>
      </c>
      <c r="W90" s="64">
        <f t="shared" si="121"/>
        <v>140</v>
      </c>
      <c r="X90" s="64">
        <f t="shared" si="122"/>
        <v>140</v>
      </c>
      <c r="Y90" s="64"/>
      <c r="Z90" s="64">
        <f t="shared" si="104"/>
        <v>140</v>
      </c>
      <c r="AA90" s="64">
        <v>2022.09</v>
      </c>
      <c r="AB90" s="64">
        <v>2022.12</v>
      </c>
      <c r="AC90" s="64"/>
    </row>
    <row r="91" s="40" customFormat="true" spans="1:29">
      <c r="A91" s="62"/>
      <c r="B91" s="63" t="s">
        <v>16</v>
      </c>
      <c r="C91" s="63">
        <f>C92+C100+C103+C105+C108+C110+C113+C117+C119</f>
        <v>20</v>
      </c>
      <c r="D91" s="63"/>
      <c r="E91" s="63"/>
      <c r="F91" s="63"/>
      <c r="G91" s="62">
        <f t="shared" ref="G91:J91" si="123">G92+G100+G103+G105+G108+G110+G113+G117+G119</f>
        <v>71676.03</v>
      </c>
      <c r="H91" s="62">
        <f t="shared" si="123"/>
        <v>19853</v>
      </c>
      <c r="I91" s="62">
        <f t="shared" si="123"/>
        <v>4496</v>
      </c>
      <c r="J91" s="62">
        <f t="shared" si="123"/>
        <v>84546.03</v>
      </c>
      <c r="K91" s="62">
        <v>153</v>
      </c>
      <c r="L91" s="62">
        <f t="shared" ref="L91:R91" si="124">L92+L100+L103+L105+L108+L110+L113+L117+L119</f>
        <v>150</v>
      </c>
      <c r="M91" s="62">
        <f t="shared" si="124"/>
        <v>4500</v>
      </c>
      <c r="N91" s="62">
        <f t="shared" si="124"/>
        <v>24349</v>
      </c>
      <c r="O91" s="62">
        <f t="shared" si="124"/>
        <v>10026</v>
      </c>
      <c r="P91" s="62">
        <f t="shared" si="124"/>
        <v>1500</v>
      </c>
      <c r="Q91" s="62">
        <f t="shared" si="124"/>
        <v>11990</v>
      </c>
      <c r="R91" s="62">
        <f t="shared" si="124"/>
        <v>833</v>
      </c>
      <c r="S91" s="64"/>
      <c r="T91" s="62"/>
      <c r="U91" s="78"/>
      <c r="V91" s="62"/>
      <c r="W91" s="78">
        <f>W92+W100+W103+W105+W108+W110+W113+W117+W119</f>
        <v>5279</v>
      </c>
      <c r="X91" s="62">
        <f>X92+X100+X103+X105+X108+X110+X113+X117+X119</f>
        <v>5136</v>
      </c>
      <c r="Y91" s="62"/>
      <c r="Z91" s="62">
        <f t="shared" si="104"/>
        <v>5136</v>
      </c>
      <c r="AA91" s="62"/>
      <c r="AB91" s="62"/>
      <c r="AC91" s="62"/>
    </row>
    <row r="92" s="42" customFormat="true" spans="1:29">
      <c r="A92" s="64">
        <v>1</v>
      </c>
      <c r="B92" s="71" t="s">
        <v>250</v>
      </c>
      <c r="C92" s="65">
        <v>7</v>
      </c>
      <c r="D92" s="65"/>
      <c r="E92" s="65"/>
      <c r="F92" s="65"/>
      <c r="G92" s="64">
        <f t="shared" ref="G92:R92" si="125">SUM(G93:G99)</f>
        <v>31555.52</v>
      </c>
      <c r="H92" s="64">
        <f t="shared" si="125"/>
        <v>10515</v>
      </c>
      <c r="I92" s="64">
        <f t="shared" si="125"/>
        <v>2996</v>
      </c>
      <c r="J92" s="64">
        <f t="shared" si="125"/>
        <v>31555.52</v>
      </c>
      <c r="K92" s="64">
        <f t="shared" si="125"/>
        <v>75</v>
      </c>
      <c r="L92" s="64">
        <f t="shared" si="125"/>
        <v>75</v>
      </c>
      <c r="M92" s="64">
        <f t="shared" si="125"/>
        <v>2250</v>
      </c>
      <c r="N92" s="64">
        <f t="shared" si="125"/>
        <v>13511</v>
      </c>
      <c r="O92" s="64">
        <f t="shared" si="125"/>
        <v>5346</v>
      </c>
      <c r="P92" s="64">
        <f t="shared" si="125"/>
        <v>1500</v>
      </c>
      <c r="Q92" s="64">
        <f t="shared" si="125"/>
        <v>6090</v>
      </c>
      <c r="R92" s="64">
        <f t="shared" si="125"/>
        <v>575</v>
      </c>
      <c r="S92" s="64">
        <f>VLOOKUP(B92,[1]补助标准!B:L,7,FALSE)</f>
        <v>0.1946</v>
      </c>
      <c r="T92" s="64"/>
      <c r="U92" s="64"/>
      <c r="V92" s="64"/>
      <c r="W92" s="64">
        <f>SUM(W93:W99)</f>
        <v>2201</v>
      </c>
      <c r="X92" s="64">
        <f>SUM(X93:X99)</f>
        <v>2201</v>
      </c>
      <c r="Y92" s="64"/>
      <c r="Z92" s="82">
        <f t="shared" si="104"/>
        <v>2201</v>
      </c>
      <c r="AA92" s="64"/>
      <c r="AB92" s="64"/>
      <c r="AC92" s="64"/>
    </row>
    <row r="93" s="42" customFormat="true" ht="25.5" spans="1:29">
      <c r="A93" s="64">
        <v>1</v>
      </c>
      <c r="B93" s="65" t="s">
        <v>251</v>
      </c>
      <c r="C93" s="66" t="s">
        <v>252</v>
      </c>
      <c r="D93" s="65" t="s">
        <v>72</v>
      </c>
      <c r="E93" s="65" t="s">
        <v>253</v>
      </c>
      <c r="F93" s="65" t="s">
        <v>254</v>
      </c>
      <c r="G93" s="64">
        <v>5235.83</v>
      </c>
      <c r="H93" s="64">
        <v>2000</v>
      </c>
      <c r="I93" s="64">
        <v>500</v>
      </c>
      <c r="J93" s="64">
        <v>5235.83</v>
      </c>
      <c r="K93" s="64">
        <v>12</v>
      </c>
      <c r="L93" s="64">
        <v>12</v>
      </c>
      <c r="M93" s="64">
        <v>360</v>
      </c>
      <c r="N93" s="64">
        <v>2500</v>
      </c>
      <c r="O93" s="64">
        <v>1000</v>
      </c>
      <c r="P93" s="64"/>
      <c r="Q93" s="64">
        <v>1500</v>
      </c>
      <c r="R93" s="64"/>
      <c r="S93" s="64">
        <f t="shared" ref="S93:S99" si="126">$S$92</f>
        <v>0.1946</v>
      </c>
      <c r="T93" s="64">
        <f t="shared" ref="T93:T99" si="127">IF(D93="扶持",0.4,(IF(D93="新建",1,IF(D93="改建",0.45,IF(D93="扩建",0.6,IF(D93="配建",0.4,0))))))</f>
        <v>1</v>
      </c>
      <c r="U93" s="64">
        <f t="shared" ref="U93:U97" si="128">IF(L93&gt;=12,3200,IF(L93&gt;=9,2500,IF(L93&gt;=6,1800,1200)))</f>
        <v>3200</v>
      </c>
      <c r="V93" s="64">
        <f t="shared" ref="V93:V99" si="129">ROUND(MIN(G93,U93),0)</f>
        <v>3200</v>
      </c>
      <c r="W93" s="64">
        <f t="shared" ref="W93:W99" si="130">ROUND(S93*V93*T93,0)</f>
        <v>623</v>
      </c>
      <c r="X93" s="64">
        <f t="shared" ref="X93:X97" si="131">MIN(W93,O93)</f>
        <v>623</v>
      </c>
      <c r="Y93" s="64"/>
      <c r="Z93" s="64">
        <f t="shared" ref="Z93:Z137" si="132">X93+Y93</f>
        <v>623</v>
      </c>
      <c r="AA93" s="64">
        <v>2022.6</v>
      </c>
      <c r="AB93" s="64">
        <v>2023.6</v>
      </c>
      <c r="AC93" s="64"/>
    </row>
    <row r="94" s="42" customFormat="true" ht="38.25" spans="1:29">
      <c r="A94" s="64">
        <v>2</v>
      </c>
      <c r="B94" s="65" t="s">
        <v>255</v>
      </c>
      <c r="C94" s="66" t="s">
        <v>256</v>
      </c>
      <c r="D94" s="65" t="s">
        <v>65</v>
      </c>
      <c r="E94" s="65" t="s">
        <v>257</v>
      </c>
      <c r="F94" s="65" t="s">
        <v>258</v>
      </c>
      <c r="G94" s="64">
        <v>2451</v>
      </c>
      <c r="H94" s="64">
        <v>75</v>
      </c>
      <c r="I94" s="64">
        <v>151</v>
      </c>
      <c r="J94" s="64">
        <v>2451</v>
      </c>
      <c r="K94" s="64">
        <v>6</v>
      </c>
      <c r="L94" s="64">
        <f>M94/30</f>
        <v>6</v>
      </c>
      <c r="M94" s="64">
        <v>180</v>
      </c>
      <c r="N94" s="64">
        <v>226</v>
      </c>
      <c r="O94" s="64">
        <v>206</v>
      </c>
      <c r="P94" s="64"/>
      <c r="Q94" s="64">
        <v>20</v>
      </c>
      <c r="R94" s="64"/>
      <c r="S94" s="64">
        <f t="shared" si="126"/>
        <v>0.1946</v>
      </c>
      <c r="T94" s="64">
        <f t="shared" si="127"/>
        <v>0.45</v>
      </c>
      <c r="U94" s="64">
        <f t="shared" si="128"/>
        <v>1800</v>
      </c>
      <c r="V94" s="64">
        <f t="shared" si="129"/>
        <v>1800</v>
      </c>
      <c r="W94" s="64">
        <f t="shared" si="130"/>
        <v>158</v>
      </c>
      <c r="X94" s="64">
        <f t="shared" si="131"/>
        <v>158</v>
      </c>
      <c r="Y94" s="64"/>
      <c r="Z94" s="64">
        <f t="shared" si="132"/>
        <v>158</v>
      </c>
      <c r="AA94" s="86">
        <v>2022.3</v>
      </c>
      <c r="AB94" s="86">
        <v>2022.8</v>
      </c>
      <c r="AC94" s="64"/>
    </row>
    <row r="95" s="42" customFormat="true" ht="25.5" spans="1:29">
      <c r="A95" s="64">
        <v>3</v>
      </c>
      <c r="B95" s="65" t="s">
        <v>259</v>
      </c>
      <c r="C95" s="66" t="s">
        <v>260</v>
      </c>
      <c r="D95" s="65" t="s">
        <v>65</v>
      </c>
      <c r="E95" s="65" t="s">
        <v>257</v>
      </c>
      <c r="F95" s="65" t="s">
        <v>261</v>
      </c>
      <c r="G95" s="64">
        <v>2485</v>
      </c>
      <c r="H95" s="64">
        <v>90</v>
      </c>
      <c r="I95" s="64">
        <v>120</v>
      </c>
      <c r="J95" s="64">
        <v>2485</v>
      </c>
      <c r="K95" s="64">
        <v>6</v>
      </c>
      <c r="L95" s="64">
        <f>M95/30</f>
        <v>6</v>
      </c>
      <c r="M95" s="64">
        <v>180</v>
      </c>
      <c r="N95" s="64">
        <v>210</v>
      </c>
      <c r="O95" s="64">
        <v>180</v>
      </c>
      <c r="P95" s="64"/>
      <c r="Q95" s="64">
        <v>30</v>
      </c>
      <c r="R95" s="64"/>
      <c r="S95" s="64">
        <f t="shared" si="126"/>
        <v>0.1946</v>
      </c>
      <c r="T95" s="64">
        <f t="shared" si="127"/>
        <v>0.45</v>
      </c>
      <c r="U95" s="64">
        <f t="shared" si="128"/>
        <v>1800</v>
      </c>
      <c r="V95" s="64">
        <f t="shared" si="129"/>
        <v>1800</v>
      </c>
      <c r="W95" s="64">
        <f t="shared" si="130"/>
        <v>158</v>
      </c>
      <c r="X95" s="64">
        <f t="shared" si="131"/>
        <v>158</v>
      </c>
      <c r="Y95" s="64"/>
      <c r="Z95" s="64">
        <f t="shared" si="132"/>
        <v>158</v>
      </c>
      <c r="AA95" s="86">
        <v>2022.3</v>
      </c>
      <c r="AB95" s="86">
        <v>2022.8</v>
      </c>
      <c r="AC95" s="64"/>
    </row>
    <row r="96" s="42" customFormat="true" ht="25.5" spans="1:29">
      <c r="A96" s="64">
        <v>4</v>
      </c>
      <c r="B96" s="65" t="s">
        <v>262</v>
      </c>
      <c r="C96" s="66" t="s">
        <v>263</v>
      </c>
      <c r="D96" s="65" t="s">
        <v>81</v>
      </c>
      <c r="E96" s="65" t="s">
        <v>264</v>
      </c>
      <c r="F96" s="65" t="s">
        <v>254</v>
      </c>
      <c r="G96" s="64">
        <v>4300</v>
      </c>
      <c r="H96" s="64">
        <v>1500</v>
      </c>
      <c r="I96" s="64">
        <v>500</v>
      </c>
      <c r="J96" s="64">
        <v>4300</v>
      </c>
      <c r="K96" s="64">
        <v>9</v>
      </c>
      <c r="L96" s="64">
        <v>9</v>
      </c>
      <c r="M96" s="64">
        <v>270</v>
      </c>
      <c r="N96" s="64">
        <v>2000</v>
      </c>
      <c r="O96" s="64">
        <v>480</v>
      </c>
      <c r="P96" s="64">
        <v>0</v>
      </c>
      <c r="Q96" s="64">
        <v>1520</v>
      </c>
      <c r="R96" s="64">
        <v>0</v>
      </c>
      <c r="S96" s="64">
        <f t="shared" si="126"/>
        <v>0.1946</v>
      </c>
      <c r="T96" s="64">
        <f t="shared" si="127"/>
        <v>0.4</v>
      </c>
      <c r="U96" s="64">
        <f t="shared" si="128"/>
        <v>2500</v>
      </c>
      <c r="V96" s="64">
        <f t="shared" si="129"/>
        <v>2500</v>
      </c>
      <c r="W96" s="64">
        <f t="shared" si="130"/>
        <v>195</v>
      </c>
      <c r="X96" s="64">
        <f t="shared" si="131"/>
        <v>195</v>
      </c>
      <c r="Y96" s="64"/>
      <c r="Z96" s="64">
        <f t="shared" si="132"/>
        <v>195</v>
      </c>
      <c r="AA96" s="86">
        <v>2022.3</v>
      </c>
      <c r="AB96" s="103">
        <v>2022.1</v>
      </c>
      <c r="AC96" s="85"/>
    </row>
    <row r="97" s="42" customFormat="true" ht="25.5" spans="1:29">
      <c r="A97" s="64">
        <v>5</v>
      </c>
      <c r="B97" s="65" t="s">
        <v>265</v>
      </c>
      <c r="C97" s="66" t="s">
        <v>266</v>
      </c>
      <c r="D97" s="65" t="s">
        <v>81</v>
      </c>
      <c r="E97" s="65" t="s">
        <v>267</v>
      </c>
      <c r="F97" s="65" t="s">
        <v>254</v>
      </c>
      <c r="G97" s="64">
        <v>6133.69</v>
      </c>
      <c r="H97" s="64">
        <v>3000</v>
      </c>
      <c r="I97" s="64">
        <v>500</v>
      </c>
      <c r="J97" s="64">
        <v>6133.69</v>
      </c>
      <c r="K97" s="64">
        <v>18</v>
      </c>
      <c r="L97" s="64">
        <v>18</v>
      </c>
      <c r="M97" s="64">
        <v>540</v>
      </c>
      <c r="N97" s="64">
        <v>3500</v>
      </c>
      <c r="O97" s="64">
        <v>480</v>
      </c>
      <c r="P97" s="64">
        <v>0</v>
      </c>
      <c r="Q97" s="64">
        <v>3020</v>
      </c>
      <c r="R97" s="64">
        <v>0</v>
      </c>
      <c r="S97" s="64">
        <f t="shared" si="126"/>
        <v>0.1946</v>
      </c>
      <c r="T97" s="64">
        <f t="shared" si="127"/>
        <v>0.4</v>
      </c>
      <c r="U97" s="64">
        <f t="shared" si="128"/>
        <v>3200</v>
      </c>
      <c r="V97" s="64">
        <f t="shared" si="129"/>
        <v>3200</v>
      </c>
      <c r="W97" s="64">
        <f t="shared" si="130"/>
        <v>249</v>
      </c>
      <c r="X97" s="64">
        <f t="shared" si="131"/>
        <v>249</v>
      </c>
      <c r="Y97" s="64"/>
      <c r="Z97" s="64">
        <f t="shared" si="132"/>
        <v>249</v>
      </c>
      <c r="AA97" s="86">
        <v>2021.7</v>
      </c>
      <c r="AB97" s="86">
        <v>2022.8</v>
      </c>
      <c r="AC97" s="85"/>
    </row>
    <row r="98" s="44" customFormat="true" ht="51" spans="1:29">
      <c r="A98" s="64">
        <v>6</v>
      </c>
      <c r="B98" s="65" t="s">
        <v>268</v>
      </c>
      <c r="C98" s="66" t="s">
        <v>269</v>
      </c>
      <c r="D98" s="65" t="s">
        <v>72</v>
      </c>
      <c r="E98" s="65" t="s">
        <v>270</v>
      </c>
      <c r="F98" s="65" t="s">
        <v>271</v>
      </c>
      <c r="G98" s="64">
        <v>8450</v>
      </c>
      <c r="H98" s="64">
        <v>3500</v>
      </c>
      <c r="I98" s="64">
        <v>800</v>
      </c>
      <c r="J98" s="64">
        <v>8450</v>
      </c>
      <c r="K98" s="64">
        <v>15</v>
      </c>
      <c r="L98" s="64">
        <v>15</v>
      </c>
      <c r="M98" s="64">
        <v>450</v>
      </c>
      <c r="N98" s="64">
        <v>4300</v>
      </c>
      <c r="O98" s="64">
        <v>2800</v>
      </c>
      <c r="P98" s="64">
        <v>1500</v>
      </c>
      <c r="Q98" s="64"/>
      <c r="R98" s="64"/>
      <c r="S98" s="64">
        <f t="shared" si="126"/>
        <v>0.1946</v>
      </c>
      <c r="T98" s="64">
        <f t="shared" si="127"/>
        <v>1</v>
      </c>
      <c r="U98" s="64">
        <f>IF(M98&gt;=12,3200,IF(M98&gt;=9,2500,IF(M98&gt;=6,1800,1200)))</f>
        <v>3200</v>
      </c>
      <c r="V98" s="64">
        <f t="shared" si="129"/>
        <v>3200</v>
      </c>
      <c r="W98" s="64">
        <f t="shared" si="130"/>
        <v>623</v>
      </c>
      <c r="X98" s="64">
        <f>MIN(W98,P98)</f>
        <v>623</v>
      </c>
      <c r="Y98" s="64"/>
      <c r="Z98" s="64">
        <f t="shared" si="132"/>
        <v>623</v>
      </c>
      <c r="AA98" s="64">
        <v>2022.9</v>
      </c>
      <c r="AB98" s="64">
        <v>2023.8</v>
      </c>
      <c r="AC98" s="64"/>
    </row>
    <row r="99" s="45" customFormat="true" ht="38.25" spans="1:29">
      <c r="A99" s="64">
        <v>7</v>
      </c>
      <c r="B99" s="65" t="s">
        <v>268</v>
      </c>
      <c r="C99" s="66" t="s">
        <v>272</v>
      </c>
      <c r="D99" s="65" t="s">
        <v>81</v>
      </c>
      <c r="E99" s="65" t="s">
        <v>273</v>
      </c>
      <c r="F99" s="65" t="s">
        <v>274</v>
      </c>
      <c r="G99" s="65">
        <v>2500</v>
      </c>
      <c r="H99" s="65">
        <v>350</v>
      </c>
      <c r="I99" s="65">
        <v>425</v>
      </c>
      <c r="J99" s="65">
        <v>2500</v>
      </c>
      <c r="K99" s="65">
        <v>9</v>
      </c>
      <c r="L99" s="65">
        <v>9</v>
      </c>
      <c r="M99" s="65">
        <v>270</v>
      </c>
      <c r="N99" s="65">
        <v>775</v>
      </c>
      <c r="O99" s="65">
        <v>200</v>
      </c>
      <c r="P99" s="65"/>
      <c r="Q99" s="65"/>
      <c r="R99" s="65">
        <v>575</v>
      </c>
      <c r="S99" s="65">
        <f t="shared" si="126"/>
        <v>0.1946</v>
      </c>
      <c r="T99" s="65">
        <f t="shared" si="127"/>
        <v>0.4</v>
      </c>
      <c r="U99" s="65">
        <f>IF(M99&gt;=12,3200,IF(M99&gt;=9,2500,IF(M99&gt;=6,1800,1200)))</f>
        <v>3200</v>
      </c>
      <c r="V99" s="65">
        <f t="shared" si="129"/>
        <v>2500</v>
      </c>
      <c r="W99" s="64">
        <f t="shared" si="130"/>
        <v>195</v>
      </c>
      <c r="X99" s="64">
        <f>MIN(W99,P99)</f>
        <v>195</v>
      </c>
      <c r="Y99" s="64"/>
      <c r="Z99" s="64">
        <f t="shared" si="132"/>
        <v>195</v>
      </c>
      <c r="AA99" s="109">
        <v>2021.9</v>
      </c>
      <c r="AB99" s="109">
        <v>2022.8</v>
      </c>
      <c r="AC99" s="109"/>
    </row>
    <row r="100" s="42" customFormat="true" spans="1:29">
      <c r="A100" s="64">
        <v>1</v>
      </c>
      <c r="B100" s="71" t="s">
        <v>275</v>
      </c>
      <c r="C100" s="65">
        <v>2</v>
      </c>
      <c r="D100" s="65"/>
      <c r="E100" s="65"/>
      <c r="F100" s="65"/>
      <c r="G100" s="64">
        <f t="shared" ref="G100:J100" si="133">G101+G102</f>
        <v>4723</v>
      </c>
      <c r="H100" s="64">
        <f t="shared" si="133"/>
        <v>1600</v>
      </c>
      <c r="I100" s="64">
        <f t="shared" si="133"/>
        <v>520</v>
      </c>
      <c r="J100" s="64">
        <f t="shared" si="133"/>
        <v>5623</v>
      </c>
      <c r="K100" s="64">
        <v>14</v>
      </c>
      <c r="L100" s="64">
        <f t="shared" ref="L100:R100" si="134">L101+L102</f>
        <v>14</v>
      </c>
      <c r="M100" s="64">
        <f t="shared" si="134"/>
        <v>420</v>
      </c>
      <c r="N100" s="64">
        <f t="shared" si="134"/>
        <v>2120</v>
      </c>
      <c r="O100" s="64">
        <f t="shared" si="134"/>
        <v>580</v>
      </c>
      <c r="P100" s="64">
        <f t="shared" si="134"/>
        <v>0</v>
      </c>
      <c r="Q100" s="64">
        <f t="shared" si="134"/>
        <v>1540</v>
      </c>
      <c r="R100" s="64">
        <f t="shared" si="134"/>
        <v>0</v>
      </c>
      <c r="S100" s="64">
        <f>VLOOKUP(B100,[1]补助标准!B:L,7,FALSE)</f>
        <v>0.1946</v>
      </c>
      <c r="T100" s="64"/>
      <c r="U100" s="64"/>
      <c r="V100" s="64"/>
      <c r="W100" s="64">
        <f>SUM(W101:W102)</f>
        <v>670</v>
      </c>
      <c r="X100" s="64">
        <f>SUM(X101:X102)</f>
        <v>527</v>
      </c>
      <c r="Y100" s="64"/>
      <c r="Z100" s="82">
        <f t="shared" si="132"/>
        <v>527</v>
      </c>
      <c r="AA100" s="64"/>
      <c r="AB100" s="64"/>
      <c r="AC100" s="64"/>
    </row>
    <row r="101" s="42" customFormat="true" ht="25.5" spans="1:29">
      <c r="A101" s="64">
        <v>2</v>
      </c>
      <c r="B101" s="65" t="s">
        <v>276</v>
      </c>
      <c r="C101" s="66" t="s">
        <v>277</v>
      </c>
      <c r="D101" s="65" t="s">
        <v>72</v>
      </c>
      <c r="E101" s="65" t="s">
        <v>278</v>
      </c>
      <c r="F101" s="65" t="s">
        <v>279</v>
      </c>
      <c r="G101" s="64">
        <v>4323</v>
      </c>
      <c r="H101" s="64">
        <v>1500</v>
      </c>
      <c r="I101" s="64">
        <v>500</v>
      </c>
      <c r="J101" s="64">
        <v>4323</v>
      </c>
      <c r="K101" s="64">
        <v>12</v>
      </c>
      <c r="L101" s="64">
        <v>12</v>
      </c>
      <c r="M101" s="64">
        <v>360</v>
      </c>
      <c r="N101" s="64">
        <v>2000</v>
      </c>
      <c r="O101" s="64">
        <v>480</v>
      </c>
      <c r="P101" s="64">
        <v>0</v>
      </c>
      <c r="Q101" s="64">
        <v>1520</v>
      </c>
      <c r="R101" s="64">
        <v>0</v>
      </c>
      <c r="S101" s="64">
        <f t="shared" ref="S101:S106" si="135">S100</f>
        <v>0.1946</v>
      </c>
      <c r="T101" s="64">
        <f t="shared" ref="T101:T104" si="136">IF(D101="扶持",0.4,(IF(D101="新建",1,IF(D101="改建",0.45,IF(D101="扩建",0.6,IF(D101="配建",0.4,0))))))</f>
        <v>1</v>
      </c>
      <c r="U101" s="64">
        <f t="shared" ref="U101:U104" si="137">IF(L101&gt;=12,3200,IF(L101&gt;=9,2500,IF(L101&gt;=6,1800,1200)))</f>
        <v>3200</v>
      </c>
      <c r="V101" s="64">
        <f t="shared" ref="V101:V104" si="138">ROUND(MIN(G101,U101),0)</f>
        <v>3200</v>
      </c>
      <c r="W101" s="64">
        <f t="shared" ref="W101:W104" si="139">ROUND(S101*V101*T101,0)</f>
        <v>623</v>
      </c>
      <c r="X101" s="64">
        <f t="shared" ref="X101:X104" si="140">MIN(W101,O101)</f>
        <v>480</v>
      </c>
      <c r="Y101" s="64"/>
      <c r="Z101" s="64">
        <f t="shared" si="132"/>
        <v>480</v>
      </c>
      <c r="AA101" s="64">
        <v>2022.7</v>
      </c>
      <c r="AB101" s="64">
        <v>2023.8</v>
      </c>
      <c r="AC101" s="64"/>
    </row>
    <row r="102" s="42" customFormat="true" ht="25.5" spans="1:29">
      <c r="A102" s="64">
        <v>1</v>
      </c>
      <c r="B102" s="65" t="s">
        <v>280</v>
      </c>
      <c r="C102" s="66" t="s">
        <v>281</v>
      </c>
      <c r="D102" s="65" t="s">
        <v>61</v>
      </c>
      <c r="E102" s="65" t="s">
        <v>257</v>
      </c>
      <c r="F102" s="65" t="s">
        <v>282</v>
      </c>
      <c r="G102" s="64">
        <v>400</v>
      </c>
      <c r="H102" s="64">
        <v>100</v>
      </c>
      <c r="I102" s="64">
        <v>20</v>
      </c>
      <c r="J102" s="64">
        <v>1300</v>
      </c>
      <c r="K102" s="64">
        <v>2</v>
      </c>
      <c r="L102" s="64">
        <f>M102/30</f>
        <v>2</v>
      </c>
      <c r="M102" s="64">
        <v>60</v>
      </c>
      <c r="N102" s="64">
        <v>120</v>
      </c>
      <c r="O102" s="64">
        <v>100</v>
      </c>
      <c r="P102" s="64">
        <v>0</v>
      </c>
      <c r="Q102" s="64">
        <v>20</v>
      </c>
      <c r="R102" s="64">
        <v>0</v>
      </c>
      <c r="S102" s="64">
        <f>S100</f>
        <v>0.1946</v>
      </c>
      <c r="T102" s="64">
        <f t="shared" si="136"/>
        <v>0.6</v>
      </c>
      <c r="U102" s="64">
        <f t="shared" si="137"/>
        <v>1200</v>
      </c>
      <c r="V102" s="64">
        <f t="shared" si="138"/>
        <v>400</v>
      </c>
      <c r="W102" s="64">
        <f t="shared" si="139"/>
        <v>47</v>
      </c>
      <c r="X102" s="64">
        <f t="shared" si="140"/>
        <v>47</v>
      </c>
      <c r="Y102" s="64"/>
      <c r="Z102" s="64">
        <f t="shared" si="132"/>
        <v>47</v>
      </c>
      <c r="AA102" s="83">
        <v>44743</v>
      </c>
      <c r="AB102" s="83">
        <v>45170</v>
      </c>
      <c r="AC102" s="64"/>
    </row>
    <row r="103" s="42" customFormat="true" spans="1:29">
      <c r="A103" s="64">
        <v>1</v>
      </c>
      <c r="B103" s="71" t="s">
        <v>283</v>
      </c>
      <c r="C103" s="65">
        <v>1</v>
      </c>
      <c r="D103" s="65"/>
      <c r="E103" s="65"/>
      <c r="F103" s="65"/>
      <c r="G103" s="64">
        <f t="shared" ref="G103:J103" si="141">G104</f>
        <v>2400</v>
      </c>
      <c r="H103" s="64">
        <f t="shared" si="141"/>
        <v>1200</v>
      </c>
      <c r="I103" s="64">
        <f t="shared" si="141"/>
        <v>100</v>
      </c>
      <c r="J103" s="64">
        <f t="shared" si="141"/>
        <v>2400</v>
      </c>
      <c r="K103" s="64">
        <v>6</v>
      </c>
      <c r="L103" s="64">
        <f t="shared" ref="L103:R103" si="142">L104</f>
        <v>6</v>
      </c>
      <c r="M103" s="64">
        <f t="shared" si="142"/>
        <v>180</v>
      </c>
      <c r="N103" s="64">
        <f t="shared" si="142"/>
        <v>1300</v>
      </c>
      <c r="O103" s="64">
        <f t="shared" si="142"/>
        <v>480</v>
      </c>
      <c r="P103" s="64">
        <f t="shared" si="142"/>
        <v>0</v>
      </c>
      <c r="Q103" s="64">
        <f t="shared" si="142"/>
        <v>820</v>
      </c>
      <c r="R103" s="64">
        <f t="shared" si="142"/>
        <v>0</v>
      </c>
      <c r="S103" s="64">
        <f>VLOOKUP(B103,[1]补助标准!B:L,7,FALSE)</f>
        <v>0.1946</v>
      </c>
      <c r="T103" s="64"/>
      <c r="U103" s="64"/>
      <c r="V103" s="64"/>
      <c r="W103" s="64">
        <f>W104</f>
        <v>350</v>
      </c>
      <c r="X103" s="64">
        <f>X104</f>
        <v>350</v>
      </c>
      <c r="Y103" s="64"/>
      <c r="Z103" s="82">
        <f t="shared" si="132"/>
        <v>350</v>
      </c>
      <c r="AA103" s="64"/>
      <c r="AB103" s="64"/>
      <c r="AC103" s="64"/>
    </row>
    <row r="104" s="42" customFormat="true" ht="25.5" spans="1:29">
      <c r="A104" s="64">
        <v>3</v>
      </c>
      <c r="B104" s="65" t="s">
        <v>284</v>
      </c>
      <c r="C104" s="66" t="s">
        <v>285</v>
      </c>
      <c r="D104" s="65" t="s">
        <v>72</v>
      </c>
      <c r="E104" s="65" t="s">
        <v>286</v>
      </c>
      <c r="F104" s="65" t="s">
        <v>254</v>
      </c>
      <c r="G104" s="64">
        <v>2400</v>
      </c>
      <c r="H104" s="64">
        <v>1200</v>
      </c>
      <c r="I104" s="64">
        <v>100</v>
      </c>
      <c r="J104" s="64">
        <v>2400</v>
      </c>
      <c r="K104" s="64">
        <v>6</v>
      </c>
      <c r="L104" s="64">
        <v>6</v>
      </c>
      <c r="M104" s="64">
        <v>180</v>
      </c>
      <c r="N104" s="64">
        <v>1300</v>
      </c>
      <c r="O104" s="64">
        <v>480</v>
      </c>
      <c r="P104" s="64"/>
      <c r="Q104" s="64">
        <v>820</v>
      </c>
      <c r="R104" s="64"/>
      <c r="S104" s="64">
        <f t="shared" si="135"/>
        <v>0.1946</v>
      </c>
      <c r="T104" s="64">
        <f t="shared" si="136"/>
        <v>1</v>
      </c>
      <c r="U104" s="64">
        <f t="shared" si="137"/>
        <v>1800</v>
      </c>
      <c r="V104" s="64">
        <f t="shared" si="138"/>
        <v>1800</v>
      </c>
      <c r="W104" s="64">
        <f t="shared" si="139"/>
        <v>350</v>
      </c>
      <c r="X104" s="64">
        <f t="shared" si="140"/>
        <v>350</v>
      </c>
      <c r="Y104" s="64"/>
      <c r="Z104" s="64">
        <f t="shared" si="132"/>
        <v>350</v>
      </c>
      <c r="AA104" s="64">
        <v>2022.4</v>
      </c>
      <c r="AB104" s="64">
        <v>2022.12</v>
      </c>
      <c r="AC104" s="64"/>
    </row>
    <row r="105" s="42" customFormat="true" spans="1:29">
      <c r="A105" s="64">
        <v>1</v>
      </c>
      <c r="B105" s="71" t="s">
        <v>287</v>
      </c>
      <c r="C105" s="65">
        <v>2</v>
      </c>
      <c r="D105" s="65"/>
      <c r="E105" s="65"/>
      <c r="F105" s="65"/>
      <c r="G105" s="64">
        <f t="shared" ref="G105:J105" si="143">G106+G107</f>
        <v>5590</v>
      </c>
      <c r="H105" s="64">
        <f t="shared" si="143"/>
        <v>3338</v>
      </c>
      <c r="I105" s="64">
        <f t="shared" si="143"/>
        <v>650</v>
      </c>
      <c r="J105" s="64">
        <f t="shared" si="143"/>
        <v>5650</v>
      </c>
      <c r="K105" s="64">
        <v>15</v>
      </c>
      <c r="L105" s="64">
        <f t="shared" ref="L105:R105" si="144">L106+L107</f>
        <v>15</v>
      </c>
      <c r="M105" s="64">
        <f t="shared" si="144"/>
        <v>450</v>
      </c>
      <c r="N105" s="64">
        <f t="shared" si="144"/>
        <v>3988</v>
      </c>
      <c r="O105" s="64">
        <f t="shared" si="144"/>
        <v>1150</v>
      </c>
      <c r="P105" s="64">
        <f t="shared" si="144"/>
        <v>0</v>
      </c>
      <c r="Q105" s="64">
        <f t="shared" si="144"/>
        <v>2800</v>
      </c>
      <c r="R105" s="64">
        <f t="shared" si="144"/>
        <v>38</v>
      </c>
      <c r="S105" s="64">
        <f>VLOOKUP(B105,[1]补助标准!B:L,7,FALSE)</f>
        <v>0.1946</v>
      </c>
      <c r="T105" s="64"/>
      <c r="U105" s="64"/>
      <c r="V105" s="64"/>
      <c r="W105" s="64">
        <f>SUM(W106:W107)</f>
        <v>683</v>
      </c>
      <c r="X105" s="64">
        <f>SUM(X106:X107)</f>
        <v>683</v>
      </c>
      <c r="Y105" s="64"/>
      <c r="Z105" s="82">
        <f t="shared" si="132"/>
        <v>683</v>
      </c>
      <c r="AA105" s="64"/>
      <c r="AB105" s="64"/>
      <c r="AC105" s="64"/>
    </row>
    <row r="106" s="42" customFormat="true" ht="25.5" spans="1:29">
      <c r="A106" s="64">
        <v>4</v>
      </c>
      <c r="B106" s="65" t="s">
        <v>288</v>
      </c>
      <c r="C106" s="66" t="s">
        <v>289</v>
      </c>
      <c r="D106" s="65" t="s">
        <v>72</v>
      </c>
      <c r="E106" s="65" t="s">
        <v>290</v>
      </c>
      <c r="F106" s="65" t="s">
        <v>254</v>
      </c>
      <c r="G106" s="64">
        <v>4900</v>
      </c>
      <c r="H106" s="64">
        <v>3200</v>
      </c>
      <c r="I106" s="64">
        <v>600</v>
      </c>
      <c r="J106" s="64">
        <v>4900</v>
      </c>
      <c r="K106" s="64">
        <v>12</v>
      </c>
      <c r="L106" s="64">
        <v>12</v>
      </c>
      <c r="M106" s="64">
        <v>360</v>
      </c>
      <c r="N106" s="64">
        <v>3800</v>
      </c>
      <c r="O106" s="64">
        <v>1000</v>
      </c>
      <c r="P106" s="64">
        <v>0</v>
      </c>
      <c r="Q106" s="64">
        <v>2800</v>
      </c>
      <c r="R106" s="64">
        <v>0</v>
      </c>
      <c r="S106" s="64">
        <f t="shared" si="135"/>
        <v>0.1946</v>
      </c>
      <c r="T106" s="64">
        <f t="shared" ref="T106:T109" si="145">IF(D106="扶持",0.4,(IF(D106="新建",1,IF(D106="改建",0.45,IF(D106="扩建",0.6,IF(D106="配建",0.4,0))))))</f>
        <v>1</v>
      </c>
      <c r="U106" s="64">
        <f t="shared" ref="U106:U109" si="146">IF(L106&gt;=12,3200,IF(L106&gt;=9,2500,IF(L106&gt;=6,1800,1200)))</f>
        <v>3200</v>
      </c>
      <c r="V106" s="64">
        <f t="shared" ref="V106:V109" si="147">ROUND(MIN(G106,U106),0)</f>
        <v>3200</v>
      </c>
      <c r="W106" s="64">
        <f t="shared" ref="W106:W109" si="148">ROUND(S106*V106*T106,0)</f>
        <v>623</v>
      </c>
      <c r="X106" s="64">
        <f t="shared" ref="X106:X109" si="149">MIN(W106,O106)</f>
        <v>623</v>
      </c>
      <c r="Y106" s="64"/>
      <c r="Z106" s="64">
        <f t="shared" si="132"/>
        <v>623</v>
      </c>
      <c r="AA106" s="64">
        <v>2022.11</v>
      </c>
      <c r="AB106" s="64">
        <v>2022.12</v>
      </c>
      <c r="AC106" s="64"/>
    </row>
    <row r="107" s="42" customFormat="true" spans="1:29">
      <c r="A107" s="64">
        <v>6</v>
      </c>
      <c r="B107" s="65" t="s">
        <v>291</v>
      </c>
      <c r="C107" s="66" t="s">
        <v>292</v>
      </c>
      <c r="D107" s="65" t="s">
        <v>65</v>
      </c>
      <c r="E107" s="65" t="s">
        <v>257</v>
      </c>
      <c r="F107" s="65" t="s">
        <v>293</v>
      </c>
      <c r="G107" s="64">
        <v>690</v>
      </c>
      <c r="H107" s="64">
        <v>138</v>
      </c>
      <c r="I107" s="64">
        <v>50</v>
      </c>
      <c r="J107" s="64">
        <v>750</v>
      </c>
      <c r="K107" s="64">
        <v>3</v>
      </c>
      <c r="L107" s="64">
        <f t="shared" ref="L107:L112" si="150">M107/30</f>
        <v>3</v>
      </c>
      <c r="M107" s="64">
        <v>90</v>
      </c>
      <c r="N107" s="64">
        <v>188</v>
      </c>
      <c r="O107" s="64">
        <v>150</v>
      </c>
      <c r="P107" s="64"/>
      <c r="Q107" s="64">
        <v>0</v>
      </c>
      <c r="R107" s="64">
        <v>38</v>
      </c>
      <c r="S107" s="64">
        <f>S105</f>
        <v>0.1946</v>
      </c>
      <c r="T107" s="64">
        <f t="shared" si="145"/>
        <v>0.45</v>
      </c>
      <c r="U107" s="64">
        <f t="shared" si="146"/>
        <v>1200</v>
      </c>
      <c r="V107" s="64">
        <f t="shared" si="147"/>
        <v>690</v>
      </c>
      <c r="W107" s="64">
        <f t="shared" si="148"/>
        <v>60</v>
      </c>
      <c r="X107" s="64">
        <f t="shared" si="149"/>
        <v>60</v>
      </c>
      <c r="Y107" s="64"/>
      <c r="Z107" s="64">
        <f t="shared" si="132"/>
        <v>60</v>
      </c>
      <c r="AA107" s="86" t="s">
        <v>294</v>
      </c>
      <c r="AB107" s="86" t="s">
        <v>295</v>
      </c>
      <c r="AC107" s="64"/>
    </row>
    <row r="108" s="42" customFormat="true" spans="1:29">
      <c r="A108" s="64">
        <v>1</v>
      </c>
      <c r="B108" s="71" t="s">
        <v>296</v>
      </c>
      <c r="C108" s="65">
        <v>1</v>
      </c>
      <c r="D108" s="65"/>
      <c r="E108" s="65"/>
      <c r="F108" s="65"/>
      <c r="G108" s="64">
        <f t="shared" ref="G108:J108" si="151">G109</f>
        <v>3850</v>
      </c>
      <c r="H108" s="64">
        <f t="shared" si="151"/>
        <v>120</v>
      </c>
      <c r="I108" s="64">
        <f t="shared" si="151"/>
        <v>30</v>
      </c>
      <c r="J108" s="64">
        <f t="shared" si="151"/>
        <v>3850</v>
      </c>
      <c r="K108" s="64">
        <v>4</v>
      </c>
      <c r="L108" s="64">
        <f t="shared" ref="L108:R108" si="152">L109</f>
        <v>4</v>
      </c>
      <c r="M108" s="64">
        <f t="shared" si="152"/>
        <v>120</v>
      </c>
      <c r="N108" s="64">
        <f t="shared" si="152"/>
        <v>150</v>
      </c>
      <c r="O108" s="64">
        <f t="shared" si="152"/>
        <v>120</v>
      </c>
      <c r="P108" s="64">
        <f t="shared" si="152"/>
        <v>0</v>
      </c>
      <c r="Q108" s="64">
        <f t="shared" si="152"/>
        <v>30</v>
      </c>
      <c r="R108" s="64">
        <f t="shared" si="152"/>
        <v>0</v>
      </c>
      <c r="S108" s="64">
        <f>VLOOKUP(B108,[1]补助标准!B:L,7,FALSE)</f>
        <v>0.1946</v>
      </c>
      <c r="T108" s="64"/>
      <c r="U108" s="64"/>
      <c r="V108" s="64"/>
      <c r="W108" s="64">
        <f>W109</f>
        <v>105</v>
      </c>
      <c r="X108" s="64">
        <f>X109</f>
        <v>105</v>
      </c>
      <c r="Y108" s="64"/>
      <c r="Z108" s="82">
        <f t="shared" si="132"/>
        <v>105</v>
      </c>
      <c r="AA108" s="86"/>
      <c r="AB108" s="86"/>
      <c r="AC108" s="64"/>
    </row>
    <row r="109" s="42" customFormat="true" spans="1:29">
      <c r="A109" s="64">
        <v>3</v>
      </c>
      <c r="B109" s="65" t="s">
        <v>297</v>
      </c>
      <c r="C109" s="66" t="s">
        <v>298</v>
      </c>
      <c r="D109" s="65" t="s">
        <v>65</v>
      </c>
      <c r="E109" s="65" t="s">
        <v>257</v>
      </c>
      <c r="F109" s="65" t="s">
        <v>299</v>
      </c>
      <c r="G109" s="64">
        <v>3850</v>
      </c>
      <c r="H109" s="64">
        <v>120</v>
      </c>
      <c r="I109" s="64">
        <v>30</v>
      </c>
      <c r="J109" s="64">
        <v>3850</v>
      </c>
      <c r="K109" s="64">
        <v>4</v>
      </c>
      <c r="L109" s="64">
        <f t="shared" si="150"/>
        <v>4</v>
      </c>
      <c r="M109" s="64">
        <v>120</v>
      </c>
      <c r="N109" s="64">
        <v>150</v>
      </c>
      <c r="O109" s="64">
        <v>120</v>
      </c>
      <c r="P109" s="64"/>
      <c r="Q109" s="64">
        <v>30</v>
      </c>
      <c r="R109" s="64"/>
      <c r="S109" s="64">
        <f t="shared" ref="S109:S114" si="153">S108</f>
        <v>0.1946</v>
      </c>
      <c r="T109" s="64">
        <f t="shared" si="145"/>
        <v>0.45</v>
      </c>
      <c r="U109" s="64">
        <f t="shared" si="146"/>
        <v>1200</v>
      </c>
      <c r="V109" s="64">
        <f t="shared" si="147"/>
        <v>1200</v>
      </c>
      <c r="W109" s="64">
        <f t="shared" si="148"/>
        <v>105</v>
      </c>
      <c r="X109" s="64">
        <f t="shared" si="149"/>
        <v>105</v>
      </c>
      <c r="Y109" s="64"/>
      <c r="Z109" s="64">
        <f t="shared" si="132"/>
        <v>105</v>
      </c>
      <c r="AA109" s="86">
        <v>2022.7</v>
      </c>
      <c r="AB109" s="86">
        <v>2022.9</v>
      </c>
      <c r="AC109" s="64"/>
    </row>
    <row r="110" s="42" customFormat="true" spans="1:29">
      <c r="A110" s="64">
        <v>1</v>
      </c>
      <c r="B110" s="71" t="s">
        <v>300</v>
      </c>
      <c r="C110" s="65">
        <v>2</v>
      </c>
      <c r="D110" s="65"/>
      <c r="E110" s="65"/>
      <c r="F110" s="65"/>
      <c r="G110" s="64">
        <f t="shared" ref="G110:J110" si="154">G111+G112</f>
        <v>8724</v>
      </c>
      <c r="H110" s="64">
        <f t="shared" si="154"/>
        <v>500</v>
      </c>
      <c r="I110" s="64">
        <f t="shared" si="154"/>
        <v>0</v>
      </c>
      <c r="J110" s="64">
        <f t="shared" si="154"/>
        <v>13824</v>
      </c>
      <c r="K110" s="64">
        <v>6</v>
      </c>
      <c r="L110" s="64">
        <f t="shared" ref="L110:R110" si="155">L111+L112</f>
        <v>6</v>
      </c>
      <c r="M110" s="64">
        <f t="shared" si="155"/>
        <v>180</v>
      </c>
      <c r="N110" s="64">
        <f t="shared" si="155"/>
        <v>500</v>
      </c>
      <c r="O110" s="64">
        <f t="shared" si="155"/>
        <v>300</v>
      </c>
      <c r="P110" s="64">
        <f t="shared" si="155"/>
        <v>0</v>
      </c>
      <c r="Q110" s="64">
        <f t="shared" si="155"/>
        <v>0</v>
      </c>
      <c r="R110" s="64">
        <f t="shared" si="155"/>
        <v>200</v>
      </c>
      <c r="S110" s="64">
        <f>VLOOKUP(B110,[1]补助标准!B:L,7,FALSE)</f>
        <v>0.1946</v>
      </c>
      <c r="T110" s="64"/>
      <c r="U110" s="64"/>
      <c r="V110" s="64"/>
      <c r="W110" s="64">
        <f>SUM(W111:W112)</f>
        <v>210</v>
      </c>
      <c r="X110" s="64">
        <f>SUM(X111:X112)</f>
        <v>210</v>
      </c>
      <c r="Y110" s="64"/>
      <c r="Z110" s="82">
        <f t="shared" si="132"/>
        <v>210</v>
      </c>
      <c r="AA110" s="86"/>
      <c r="AB110" s="86"/>
      <c r="AC110" s="64"/>
    </row>
    <row r="111" s="42" customFormat="true" spans="1:29">
      <c r="A111" s="64">
        <v>4</v>
      </c>
      <c r="B111" s="65" t="s">
        <v>301</v>
      </c>
      <c r="C111" s="66" t="s">
        <v>302</v>
      </c>
      <c r="D111" s="65" t="s">
        <v>65</v>
      </c>
      <c r="E111" s="65" t="s">
        <v>257</v>
      </c>
      <c r="F111" s="65" t="s">
        <v>299</v>
      </c>
      <c r="G111" s="64">
        <v>7374</v>
      </c>
      <c r="H111" s="64">
        <v>300</v>
      </c>
      <c r="I111" s="64"/>
      <c r="J111" s="64">
        <v>9230</v>
      </c>
      <c r="K111" s="64">
        <v>3</v>
      </c>
      <c r="L111" s="64">
        <f t="shared" si="150"/>
        <v>3</v>
      </c>
      <c r="M111" s="64">
        <v>90</v>
      </c>
      <c r="N111" s="64">
        <v>300</v>
      </c>
      <c r="O111" s="64">
        <v>180</v>
      </c>
      <c r="P111" s="64"/>
      <c r="Q111" s="64"/>
      <c r="R111" s="64">
        <v>120</v>
      </c>
      <c r="S111" s="64">
        <f t="shared" si="153"/>
        <v>0.1946</v>
      </c>
      <c r="T111" s="64">
        <f t="shared" ref="T111:T116" si="156">IF(D111="扶持",0.4,(IF(D111="新建",1,IF(D111="改建",0.45,IF(D111="扩建",0.6,IF(D111="配建",0.4,0))))))</f>
        <v>0.45</v>
      </c>
      <c r="U111" s="64">
        <f t="shared" ref="U111:U116" si="157">IF(L111&gt;=12,3200,IF(L111&gt;=9,2500,IF(L111&gt;=6,1800,1200)))</f>
        <v>1200</v>
      </c>
      <c r="V111" s="64">
        <f t="shared" ref="V111:V116" si="158">ROUND(MIN(G111,U111),0)</f>
        <v>1200</v>
      </c>
      <c r="W111" s="64">
        <f t="shared" ref="W111:W116" si="159">ROUND(S111*V111*T111,0)</f>
        <v>105</v>
      </c>
      <c r="X111" s="64">
        <f t="shared" ref="X111:X116" si="160">MIN(W111,O111)</f>
        <v>105</v>
      </c>
      <c r="Y111" s="64"/>
      <c r="Z111" s="64">
        <f t="shared" si="132"/>
        <v>105</v>
      </c>
      <c r="AA111" s="86">
        <v>2022</v>
      </c>
      <c r="AB111" s="86">
        <v>2023</v>
      </c>
      <c r="AC111" s="64"/>
    </row>
    <row r="112" s="42" customFormat="true" ht="38.25" spans="1:29">
      <c r="A112" s="64">
        <v>5</v>
      </c>
      <c r="B112" s="65" t="s">
        <v>303</v>
      </c>
      <c r="C112" s="66" t="s">
        <v>304</v>
      </c>
      <c r="D112" s="65" t="s">
        <v>65</v>
      </c>
      <c r="E112" s="65" t="s">
        <v>257</v>
      </c>
      <c r="F112" s="65" t="s">
        <v>305</v>
      </c>
      <c r="G112" s="64">
        <v>1350</v>
      </c>
      <c r="H112" s="64">
        <v>200</v>
      </c>
      <c r="I112" s="64"/>
      <c r="J112" s="64">
        <v>4594</v>
      </c>
      <c r="K112" s="64">
        <v>3</v>
      </c>
      <c r="L112" s="64">
        <f t="shared" si="150"/>
        <v>3</v>
      </c>
      <c r="M112" s="64">
        <v>90</v>
      </c>
      <c r="N112" s="64">
        <v>200</v>
      </c>
      <c r="O112" s="64">
        <v>120</v>
      </c>
      <c r="P112" s="64"/>
      <c r="Q112" s="64"/>
      <c r="R112" s="64">
        <v>80</v>
      </c>
      <c r="S112" s="64">
        <f t="shared" ref="S112:S116" si="161">S110</f>
        <v>0.1946</v>
      </c>
      <c r="T112" s="64">
        <f t="shared" si="156"/>
        <v>0.45</v>
      </c>
      <c r="U112" s="64">
        <f t="shared" si="157"/>
        <v>1200</v>
      </c>
      <c r="V112" s="64">
        <f t="shared" si="158"/>
        <v>1200</v>
      </c>
      <c r="W112" s="64">
        <f t="shared" si="159"/>
        <v>105</v>
      </c>
      <c r="X112" s="64">
        <f t="shared" si="160"/>
        <v>105</v>
      </c>
      <c r="Y112" s="64"/>
      <c r="Z112" s="64">
        <f t="shared" si="132"/>
        <v>105</v>
      </c>
      <c r="AA112" s="86">
        <v>2022</v>
      </c>
      <c r="AB112" s="86">
        <v>2023</v>
      </c>
      <c r="AC112" s="64"/>
    </row>
    <row r="113" s="42" customFormat="true" spans="1:29">
      <c r="A113" s="64">
        <v>1</v>
      </c>
      <c r="B113" s="71" t="s">
        <v>306</v>
      </c>
      <c r="C113" s="65">
        <v>3</v>
      </c>
      <c r="D113" s="65"/>
      <c r="E113" s="65"/>
      <c r="F113" s="65"/>
      <c r="G113" s="64">
        <f t="shared" ref="G113:J113" si="162">G114+G115</f>
        <v>7172</v>
      </c>
      <c r="H113" s="64">
        <f t="shared" si="162"/>
        <v>2060</v>
      </c>
      <c r="I113" s="64">
        <f t="shared" si="162"/>
        <v>0</v>
      </c>
      <c r="J113" s="64">
        <f t="shared" si="162"/>
        <v>9432</v>
      </c>
      <c r="K113" s="64">
        <v>21</v>
      </c>
      <c r="L113" s="64">
        <f t="shared" ref="L113:R113" si="163">L114+L115</f>
        <v>21</v>
      </c>
      <c r="M113" s="64">
        <f t="shared" si="163"/>
        <v>630</v>
      </c>
      <c r="N113" s="64">
        <f t="shared" si="163"/>
        <v>2060</v>
      </c>
      <c r="O113" s="64">
        <f t="shared" si="163"/>
        <v>1400</v>
      </c>
      <c r="P113" s="64">
        <f t="shared" si="163"/>
        <v>0</v>
      </c>
      <c r="Q113" s="64">
        <f t="shared" si="163"/>
        <v>660</v>
      </c>
      <c r="R113" s="64">
        <f t="shared" si="163"/>
        <v>0</v>
      </c>
      <c r="S113" s="64">
        <f>VLOOKUP(B113,[1]补助标准!B:L,7,FALSE)</f>
        <v>0.1946</v>
      </c>
      <c r="T113" s="64"/>
      <c r="U113" s="64"/>
      <c r="V113" s="64"/>
      <c r="W113" s="64">
        <f>SUM(W114:W116)</f>
        <v>745</v>
      </c>
      <c r="X113" s="64">
        <f>SUM(X114:X116)</f>
        <v>745</v>
      </c>
      <c r="Y113" s="64"/>
      <c r="Z113" s="82">
        <f t="shared" si="132"/>
        <v>745</v>
      </c>
      <c r="AA113" s="86"/>
      <c r="AB113" s="86"/>
      <c r="AC113" s="64"/>
    </row>
    <row r="114" s="42" customFormat="true" spans="1:29">
      <c r="A114" s="64">
        <v>7</v>
      </c>
      <c r="B114" s="65" t="s">
        <v>307</v>
      </c>
      <c r="C114" s="66" t="s">
        <v>308</v>
      </c>
      <c r="D114" s="65" t="s">
        <v>61</v>
      </c>
      <c r="E114" s="65" t="s">
        <v>257</v>
      </c>
      <c r="F114" s="65" t="s">
        <v>309</v>
      </c>
      <c r="G114" s="64">
        <v>3712</v>
      </c>
      <c r="H114" s="64">
        <v>1500</v>
      </c>
      <c r="I114" s="64">
        <v>0</v>
      </c>
      <c r="J114" s="64">
        <f>5712+260</f>
        <v>5972</v>
      </c>
      <c r="K114" s="64">
        <v>12</v>
      </c>
      <c r="L114" s="64">
        <f t="shared" ref="L114:L118" si="164">M114/30</f>
        <v>12</v>
      </c>
      <c r="M114" s="64">
        <v>360</v>
      </c>
      <c r="N114" s="64">
        <f>O114+Q114</f>
        <v>1500</v>
      </c>
      <c r="O114" s="64">
        <v>1000</v>
      </c>
      <c r="P114" s="64"/>
      <c r="Q114" s="64">
        <v>500</v>
      </c>
      <c r="R114" s="64"/>
      <c r="S114" s="64">
        <f t="shared" si="153"/>
        <v>0.1946</v>
      </c>
      <c r="T114" s="64">
        <f t="shared" si="156"/>
        <v>0.6</v>
      </c>
      <c r="U114" s="64">
        <f t="shared" si="157"/>
        <v>3200</v>
      </c>
      <c r="V114" s="64">
        <f t="shared" si="158"/>
        <v>3200</v>
      </c>
      <c r="W114" s="64">
        <f t="shared" si="159"/>
        <v>374</v>
      </c>
      <c r="X114" s="64">
        <f t="shared" si="160"/>
        <v>374</v>
      </c>
      <c r="Y114" s="64"/>
      <c r="Z114" s="64">
        <f t="shared" si="132"/>
        <v>374</v>
      </c>
      <c r="AA114" s="86">
        <v>2022.6</v>
      </c>
      <c r="AB114" s="86">
        <v>2023.8</v>
      </c>
      <c r="AC114" s="82"/>
    </row>
    <row r="115" s="42" customFormat="true" ht="25.5" spans="1:29">
      <c r="A115" s="64">
        <v>8</v>
      </c>
      <c r="B115" s="65" t="s">
        <v>310</v>
      </c>
      <c r="C115" s="66" t="s">
        <v>311</v>
      </c>
      <c r="D115" s="65" t="s">
        <v>61</v>
      </c>
      <c r="E115" s="65" t="s">
        <v>257</v>
      </c>
      <c r="F115" s="65" t="s">
        <v>309</v>
      </c>
      <c r="G115" s="64">
        <v>3460</v>
      </c>
      <c r="H115" s="64">
        <v>560</v>
      </c>
      <c r="I115" s="64">
        <v>0</v>
      </c>
      <c r="J115" s="64">
        <v>3460</v>
      </c>
      <c r="K115" s="64">
        <v>9</v>
      </c>
      <c r="L115" s="64">
        <f t="shared" si="164"/>
        <v>9</v>
      </c>
      <c r="M115" s="64">
        <v>270</v>
      </c>
      <c r="N115" s="64">
        <v>560</v>
      </c>
      <c r="O115" s="64">
        <v>400</v>
      </c>
      <c r="P115" s="64"/>
      <c r="Q115" s="64">
        <v>160</v>
      </c>
      <c r="R115" s="64"/>
      <c r="S115" s="64">
        <f t="shared" si="161"/>
        <v>0.1946</v>
      </c>
      <c r="T115" s="64">
        <f t="shared" si="156"/>
        <v>0.6</v>
      </c>
      <c r="U115" s="64">
        <f t="shared" si="157"/>
        <v>2500</v>
      </c>
      <c r="V115" s="64">
        <f t="shared" si="158"/>
        <v>2500</v>
      </c>
      <c r="W115" s="64">
        <f t="shared" si="159"/>
        <v>292</v>
      </c>
      <c r="X115" s="64">
        <f t="shared" si="160"/>
        <v>292</v>
      </c>
      <c r="Y115" s="64"/>
      <c r="Z115" s="64">
        <f t="shared" si="132"/>
        <v>292</v>
      </c>
      <c r="AA115" s="86">
        <v>2022.6</v>
      </c>
      <c r="AB115" s="86">
        <v>2023.8</v>
      </c>
      <c r="AC115" s="82"/>
    </row>
    <row r="116" s="42" customFormat="true" ht="25.5" spans="1:29">
      <c r="A116" s="67">
        <v>3</v>
      </c>
      <c r="B116" s="68" t="s">
        <v>312</v>
      </c>
      <c r="C116" s="69" t="s">
        <v>313</v>
      </c>
      <c r="D116" s="65" t="s">
        <v>61</v>
      </c>
      <c r="E116" s="68"/>
      <c r="F116" s="68" t="s">
        <v>309</v>
      </c>
      <c r="G116" s="67">
        <v>678</v>
      </c>
      <c r="H116" s="67">
        <v>320</v>
      </c>
      <c r="I116" s="67">
        <v>30</v>
      </c>
      <c r="J116" s="67">
        <v>678</v>
      </c>
      <c r="K116" s="67">
        <v>3</v>
      </c>
      <c r="L116" s="64">
        <v>2</v>
      </c>
      <c r="M116" s="67">
        <v>60</v>
      </c>
      <c r="N116" s="67">
        <v>320</v>
      </c>
      <c r="O116" s="67">
        <v>256</v>
      </c>
      <c r="P116" s="67"/>
      <c r="Q116" s="67">
        <v>64</v>
      </c>
      <c r="R116" s="67"/>
      <c r="S116" s="64">
        <f t="shared" si="161"/>
        <v>0.1946</v>
      </c>
      <c r="T116" s="64">
        <f t="shared" si="156"/>
        <v>0.6</v>
      </c>
      <c r="U116" s="64">
        <f t="shared" si="157"/>
        <v>1200</v>
      </c>
      <c r="V116" s="64">
        <f t="shared" si="158"/>
        <v>678</v>
      </c>
      <c r="W116" s="64">
        <f t="shared" si="159"/>
        <v>79</v>
      </c>
      <c r="X116" s="64">
        <f t="shared" si="160"/>
        <v>79</v>
      </c>
      <c r="Y116" s="64"/>
      <c r="Z116" s="64">
        <f t="shared" si="132"/>
        <v>79</v>
      </c>
      <c r="AA116" s="67">
        <v>2022.6</v>
      </c>
      <c r="AB116" s="67">
        <v>2023.8</v>
      </c>
      <c r="AC116" s="67"/>
    </row>
    <row r="117" s="42" customFormat="true" spans="1:29">
      <c r="A117" s="64">
        <v>1</v>
      </c>
      <c r="B117" s="71" t="s">
        <v>314</v>
      </c>
      <c r="C117" s="65">
        <v>1</v>
      </c>
      <c r="D117" s="65"/>
      <c r="E117" s="65"/>
      <c r="F117" s="65"/>
      <c r="G117" s="64">
        <f t="shared" ref="G117:J117" si="165">G118</f>
        <v>6211.51</v>
      </c>
      <c r="H117" s="64">
        <f t="shared" si="165"/>
        <v>300</v>
      </c>
      <c r="I117" s="64">
        <f t="shared" si="165"/>
        <v>200</v>
      </c>
      <c r="J117" s="64">
        <f t="shared" si="165"/>
        <v>6211.51</v>
      </c>
      <c r="K117" s="64">
        <v>6</v>
      </c>
      <c r="L117" s="64">
        <f t="shared" ref="L117:R117" si="166">L118</f>
        <v>6</v>
      </c>
      <c r="M117" s="64">
        <f t="shared" si="166"/>
        <v>180</v>
      </c>
      <c r="N117" s="64">
        <f t="shared" si="166"/>
        <v>500</v>
      </c>
      <c r="O117" s="64">
        <f t="shared" si="166"/>
        <v>450</v>
      </c>
      <c r="P117" s="64">
        <f t="shared" si="166"/>
        <v>0</v>
      </c>
      <c r="Q117" s="64">
        <f t="shared" si="166"/>
        <v>50</v>
      </c>
      <c r="R117" s="64">
        <f t="shared" si="166"/>
        <v>0</v>
      </c>
      <c r="S117" s="64">
        <f>VLOOKUP(B117,[1]补助标准!B:L,7,FALSE)</f>
        <v>0.1946</v>
      </c>
      <c r="T117" s="64"/>
      <c r="U117" s="64"/>
      <c r="V117" s="64"/>
      <c r="W117" s="64">
        <f>W118</f>
        <v>210</v>
      </c>
      <c r="X117" s="64">
        <f>X118</f>
        <v>210</v>
      </c>
      <c r="Y117" s="64"/>
      <c r="Z117" s="82">
        <f t="shared" si="132"/>
        <v>210</v>
      </c>
      <c r="AA117" s="64"/>
      <c r="AB117" s="64"/>
      <c r="AC117" s="64"/>
    </row>
    <row r="118" s="42" customFormat="true" ht="25.5" spans="1:29">
      <c r="A118" s="64">
        <v>9</v>
      </c>
      <c r="B118" s="65" t="s">
        <v>315</v>
      </c>
      <c r="C118" s="66" t="s">
        <v>316</v>
      </c>
      <c r="D118" s="65" t="s">
        <v>61</v>
      </c>
      <c r="E118" s="65" t="s">
        <v>257</v>
      </c>
      <c r="F118" s="65" t="s">
        <v>125</v>
      </c>
      <c r="G118" s="64">
        <v>6211.51</v>
      </c>
      <c r="H118" s="64">
        <v>300</v>
      </c>
      <c r="I118" s="64">
        <v>200</v>
      </c>
      <c r="J118" s="64">
        <v>6211.51</v>
      </c>
      <c r="K118" s="64">
        <v>6</v>
      </c>
      <c r="L118" s="64">
        <f t="shared" si="164"/>
        <v>6</v>
      </c>
      <c r="M118" s="64">
        <v>180</v>
      </c>
      <c r="N118" s="64">
        <v>500</v>
      </c>
      <c r="O118" s="64">
        <v>450</v>
      </c>
      <c r="P118" s="64"/>
      <c r="Q118" s="64">
        <v>50</v>
      </c>
      <c r="R118" s="64"/>
      <c r="S118" s="64">
        <f t="shared" ref="S118:S123" si="167">S117</f>
        <v>0.1946</v>
      </c>
      <c r="T118" s="64">
        <f t="shared" ref="T118:T124" si="168">IF(D118="扶持",0.4,(IF(D118="新建",1,IF(D118="改建",0.45,IF(D118="扩建",0.6,IF(D118="配建",0.4,0))))))</f>
        <v>0.6</v>
      </c>
      <c r="U118" s="64">
        <f t="shared" ref="U118:U124" si="169">IF(L118&gt;=12,3200,IF(L118&gt;=9,2500,IF(L118&gt;=6,1800,1200)))</f>
        <v>1800</v>
      </c>
      <c r="V118" s="64">
        <f t="shared" ref="V118:V124" si="170">ROUND(MIN(G118,U118),0)</f>
        <v>1800</v>
      </c>
      <c r="W118" s="64">
        <f t="shared" ref="W118:W124" si="171">ROUND(S118*V118*T118,0)</f>
        <v>210</v>
      </c>
      <c r="X118" s="64">
        <f t="shared" ref="X118:X124" si="172">MIN(W118,O118)</f>
        <v>210</v>
      </c>
      <c r="Y118" s="64"/>
      <c r="Z118" s="64">
        <f t="shared" si="132"/>
        <v>210</v>
      </c>
      <c r="AA118" s="86">
        <v>2022.6</v>
      </c>
      <c r="AB118" s="86">
        <v>2022.9</v>
      </c>
      <c r="AC118" s="64"/>
    </row>
    <row r="119" s="42" customFormat="true" spans="1:29">
      <c r="A119" s="64">
        <v>1</v>
      </c>
      <c r="B119" s="71" t="s">
        <v>317</v>
      </c>
      <c r="C119" s="65">
        <v>1</v>
      </c>
      <c r="D119" s="65"/>
      <c r="E119" s="65"/>
      <c r="F119" s="65"/>
      <c r="G119" s="64">
        <v>1450</v>
      </c>
      <c r="H119" s="64">
        <v>220</v>
      </c>
      <c r="I119" s="64"/>
      <c r="J119" s="64">
        <v>6000</v>
      </c>
      <c r="K119" s="64">
        <v>15</v>
      </c>
      <c r="L119" s="64">
        <v>3</v>
      </c>
      <c r="M119" s="64">
        <v>90</v>
      </c>
      <c r="N119" s="64">
        <v>220</v>
      </c>
      <c r="O119" s="64">
        <v>200</v>
      </c>
      <c r="P119" s="64"/>
      <c r="Q119" s="64"/>
      <c r="R119" s="64">
        <v>20</v>
      </c>
      <c r="S119" s="64">
        <f>VLOOKUP(B119,[1]补助标准!B:L,7,FALSE)</f>
        <v>0.1946</v>
      </c>
      <c r="T119" s="64"/>
      <c r="U119" s="64"/>
      <c r="V119" s="64"/>
      <c r="W119" s="64">
        <f>W120</f>
        <v>105</v>
      </c>
      <c r="X119" s="64">
        <f>X120</f>
        <v>105</v>
      </c>
      <c r="Y119" s="64"/>
      <c r="Z119" s="82">
        <f t="shared" si="132"/>
        <v>105</v>
      </c>
      <c r="AA119" s="64"/>
      <c r="AB119" s="64"/>
      <c r="AC119" s="64"/>
    </row>
    <row r="120" s="42" customFormat="true" spans="1:29">
      <c r="A120" s="64">
        <v>10</v>
      </c>
      <c r="B120" s="65" t="s">
        <v>318</v>
      </c>
      <c r="C120" s="66" t="s">
        <v>319</v>
      </c>
      <c r="D120" s="65" t="s">
        <v>65</v>
      </c>
      <c r="E120" s="65" t="s">
        <v>257</v>
      </c>
      <c r="F120" s="65" t="s">
        <v>130</v>
      </c>
      <c r="G120" s="64">
        <v>1450</v>
      </c>
      <c r="H120" s="64">
        <v>220</v>
      </c>
      <c r="I120" s="64"/>
      <c r="J120" s="64">
        <v>6000</v>
      </c>
      <c r="K120" s="64">
        <v>15</v>
      </c>
      <c r="L120" s="64">
        <f>M120/30</f>
        <v>3</v>
      </c>
      <c r="M120" s="64">
        <v>90</v>
      </c>
      <c r="N120" s="64">
        <v>220</v>
      </c>
      <c r="O120" s="64">
        <v>200</v>
      </c>
      <c r="P120" s="64"/>
      <c r="Q120" s="64"/>
      <c r="R120" s="64">
        <v>20</v>
      </c>
      <c r="S120" s="64">
        <f t="shared" si="167"/>
        <v>0.1946</v>
      </c>
      <c r="T120" s="64">
        <f t="shared" si="168"/>
        <v>0.45</v>
      </c>
      <c r="U120" s="64">
        <f t="shared" si="169"/>
        <v>1200</v>
      </c>
      <c r="V120" s="64">
        <f t="shared" si="170"/>
        <v>1200</v>
      </c>
      <c r="W120" s="64">
        <f t="shared" si="171"/>
        <v>105</v>
      </c>
      <c r="X120" s="64">
        <f t="shared" si="172"/>
        <v>105</v>
      </c>
      <c r="Y120" s="64"/>
      <c r="Z120" s="64">
        <f t="shared" si="132"/>
        <v>105</v>
      </c>
      <c r="AA120" s="64">
        <v>2022.6</v>
      </c>
      <c r="AB120" s="64">
        <v>2022.9</v>
      </c>
      <c r="AC120" s="64"/>
    </row>
    <row r="121" s="40" customFormat="true" spans="1:29">
      <c r="A121" s="62"/>
      <c r="B121" s="63" t="s">
        <v>17</v>
      </c>
      <c r="C121" s="63">
        <f>C122+C125+C130+C134+C137+C148+C150+C156+C161+C163</f>
        <v>33</v>
      </c>
      <c r="D121" s="63"/>
      <c r="E121" s="63"/>
      <c r="F121" s="63"/>
      <c r="G121" s="62">
        <f t="shared" ref="G121:J121" si="173">G122+G125+G130+G134+G137+G148+G150+G156+G161+G163</f>
        <v>211798.97</v>
      </c>
      <c r="H121" s="62">
        <f t="shared" si="173"/>
        <v>51468.6</v>
      </c>
      <c r="I121" s="62">
        <f t="shared" si="173"/>
        <v>10505</v>
      </c>
      <c r="J121" s="62">
        <f t="shared" si="173"/>
        <v>214098.97</v>
      </c>
      <c r="K121" s="62">
        <v>437</v>
      </c>
      <c r="L121" s="62">
        <f t="shared" ref="L121:R121" si="174">L122+L125+L130+L134+L137+L148+L150+L156+L161+L163</f>
        <v>446</v>
      </c>
      <c r="M121" s="62">
        <f t="shared" si="174"/>
        <v>13170</v>
      </c>
      <c r="N121" s="62">
        <f t="shared" si="174"/>
        <v>61973.6</v>
      </c>
      <c r="O121" s="62">
        <f t="shared" si="174"/>
        <v>18718</v>
      </c>
      <c r="P121" s="62">
        <f t="shared" si="174"/>
        <v>2200</v>
      </c>
      <c r="Q121" s="62">
        <f t="shared" si="174"/>
        <v>18902.48</v>
      </c>
      <c r="R121" s="62">
        <f t="shared" si="174"/>
        <v>22153.12</v>
      </c>
      <c r="S121" s="64"/>
      <c r="T121" s="62"/>
      <c r="U121" s="62"/>
      <c r="V121" s="62"/>
      <c r="W121" s="62">
        <f>W122+W125+W130+W134+W137+W148+W150+W156+W161+W163</f>
        <v>12786</v>
      </c>
      <c r="X121" s="62">
        <f>X122+X125+X130+X134+X137+X148+X150+X156+X161+X163</f>
        <v>12252</v>
      </c>
      <c r="Y121" s="62"/>
      <c r="Z121" s="62">
        <f t="shared" si="132"/>
        <v>12252</v>
      </c>
      <c r="AA121" s="62"/>
      <c r="AB121" s="62"/>
      <c r="AC121" s="62"/>
    </row>
    <row r="122" s="42" customFormat="true" spans="1:29">
      <c r="A122" s="64">
        <v>1</v>
      </c>
      <c r="B122" s="71" t="s">
        <v>320</v>
      </c>
      <c r="C122" s="65">
        <v>2</v>
      </c>
      <c r="D122" s="65"/>
      <c r="E122" s="76"/>
      <c r="F122" s="76"/>
      <c r="G122" s="64">
        <f t="shared" ref="G122:J122" si="175">SUM(G123:G124)</f>
        <v>12857</v>
      </c>
      <c r="H122" s="64">
        <f t="shared" si="175"/>
        <v>5247</v>
      </c>
      <c r="I122" s="64">
        <f t="shared" si="175"/>
        <v>200</v>
      </c>
      <c r="J122" s="64">
        <f t="shared" si="175"/>
        <v>12857</v>
      </c>
      <c r="K122" s="64">
        <v>27</v>
      </c>
      <c r="L122" s="64">
        <f t="shared" ref="L122:R122" si="176">SUM(L123:L124)</f>
        <v>27</v>
      </c>
      <c r="M122" s="64">
        <f t="shared" si="176"/>
        <v>810</v>
      </c>
      <c r="N122" s="64">
        <f t="shared" si="176"/>
        <v>5447</v>
      </c>
      <c r="O122" s="64">
        <f t="shared" si="176"/>
        <v>1650</v>
      </c>
      <c r="P122" s="82">
        <f t="shared" si="176"/>
        <v>150</v>
      </c>
      <c r="Q122" s="82">
        <f t="shared" si="176"/>
        <v>3647</v>
      </c>
      <c r="R122" s="82">
        <f t="shared" si="176"/>
        <v>0</v>
      </c>
      <c r="S122" s="64">
        <f>VLOOKUP(B122,[1]补助标准!B:L,7,FALSE)</f>
        <v>0.1946</v>
      </c>
      <c r="T122" s="64"/>
      <c r="U122" s="82"/>
      <c r="V122" s="64"/>
      <c r="W122" s="82">
        <f>SUM(W123:W124)</f>
        <v>872</v>
      </c>
      <c r="X122" s="64">
        <f>SUM(X123:X124)</f>
        <v>773</v>
      </c>
      <c r="Y122" s="64"/>
      <c r="Z122" s="82">
        <f t="shared" si="132"/>
        <v>773</v>
      </c>
      <c r="AA122" s="82"/>
      <c r="AB122" s="82"/>
      <c r="AC122" s="64"/>
    </row>
    <row r="123" s="42" customFormat="true" ht="38.25" spans="1:29">
      <c r="A123" s="64">
        <v>1</v>
      </c>
      <c r="B123" s="65" t="s">
        <v>321</v>
      </c>
      <c r="C123" s="66" t="s">
        <v>322</v>
      </c>
      <c r="D123" s="65" t="s">
        <v>72</v>
      </c>
      <c r="E123" s="65" t="s">
        <v>323</v>
      </c>
      <c r="F123" s="65" t="s">
        <v>324</v>
      </c>
      <c r="G123" s="64">
        <v>9657</v>
      </c>
      <c r="H123" s="64">
        <v>4947</v>
      </c>
      <c r="I123" s="64">
        <v>0</v>
      </c>
      <c r="J123" s="64">
        <v>9657</v>
      </c>
      <c r="K123" s="64">
        <v>15</v>
      </c>
      <c r="L123" s="64">
        <v>15</v>
      </c>
      <c r="M123" s="64">
        <v>450</v>
      </c>
      <c r="N123" s="64">
        <v>4947</v>
      </c>
      <c r="O123" s="64">
        <v>1500</v>
      </c>
      <c r="P123" s="64">
        <v>100</v>
      </c>
      <c r="Q123" s="64">
        <v>3347</v>
      </c>
      <c r="R123" s="64">
        <v>0</v>
      </c>
      <c r="S123" s="64">
        <f t="shared" si="167"/>
        <v>0.1946</v>
      </c>
      <c r="T123" s="64">
        <f t="shared" si="168"/>
        <v>1</v>
      </c>
      <c r="U123" s="64">
        <f t="shared" si="169"/>
        <v>3200</v>
      </c>
      <c r="V123" s="64">
        <f t="shared" si="170"/>
        <v>3200</v>
      </c>
      <c r="W123" s="64">
        <f t="shared" si="171"/>
        <v>623</v>
      </c>
      <c r="X123" s="64">
        <f t="shared" si="172"/>
        <v>623</v>
      </c>
      <c r="Y123" s="64"/>
      <c r="Z123" s="64">
        <f t="shared" si="132"/>
        <v>623</v>
      </c>
      <c r="AA123" s="64">
        <v>2022.8</v>
      </c>
      <c r="AB123" s="64">
        <v>2023.12</v>
      </c>
      <c r="AC123" s="64"/>
    </row>
    <row r="124" s="42" customFormat="true" ht="25.5" spans="1:29">
      <c r="A124" s="64">
        <v>1</v>
      </c>
      <c r="B124" s="65" t="s">
        <v>321</v>
      </c>
      <c r="C124" s="66" t="s">
        <v>325</v>
      </c>
      <c r="D124" s="65" t="s">
        <v>81</v>
      </c>
      <c r="E124" s="65" t="s">
        <v>326</v>
      </c>
      <c r="F124" s="100" t="s">
        <v>327</v>
      </c>
      <c r="G124" s="64">
        <v>3200</v>
      </c>
      <c r="H124" s="64">
        <v>300</v>
      </c>
      <c r="I124" s="64">
        <v>200</v>
      </c>
      <c r="J124" s="64">
        <v>3200</v>
      </c>
      <c r="K124" s="64">
        <v>12</v>
      </c>
      <c r="L124" s="64">
        <v>12</v>
      </c>
      <c r="M124" s="64">
        <v>360</v>
      </c>
      <c r="N124" s="64">
        <v>500</v>
      </c>
      <c r="O124" s="64">
        <v>150</v>
      </c>
      <c r="P124" s="64">
        <v>50</v>
      </c>
      <c r="Q124" s="64">
        <v>300</v>
      </c>
      <c r="R124" s="64">
        <v>0</v>
      </c>
      <c r="S124" s="64">
        <f>S122</f>
        <v>0.1946</v>
      </c>
      <c r="T124" s="64">
        <f t="shared" si="168"/>
        <v>0.4</v>
      </c>
      <c r="U124" s="64">
        <f t="shared" si="169"/>
        <v>3200</v>
      </c>
      <c r="V124" s="64">
        <f t="shared" si="170"/>
        <v>3200</v>
      </c>
      <c r="W124" s="64">
        <f t="shared" si="171"/>
        <v>249</v>
      </c>
      <c r="X124" s="64">
        <f t="shared" si="172"/>
        <v>150</v>
      </c>
      <c r="Y124" s="64"/>
      <c r="Z124" s="64">
        <f t="shared" si="132"/>
        <v>150</v>
      </c>
      <c r="AA124" s="64">
        <v>2022.12</v>
      </c>
      <c r="AB124" s="64">
        <v>2023.8</v>
      </c>
      <c r="AC124" s="64"/>
    </row>
    <row r="125" s="42" customFormat="true" spans="1:29">
      <c r="A125" s="64">
        <v>1</v>
      </c>
      <c r="B125" s="71" t="s">
        <v>328</v>
      </c>
      <c r="C125" s="65">
        <v>4</v>
      </c>
      <c r="D125" s="65"/>
      <c r="E125" s="76"/>
      <c r="F125" s="76"/>
      <c r="G125" s="64">
        <f t="shared" ref="G125:J125" si="177">SUM(G126:G129)</f>
        <v>19474.67</v>
      </c>
      <c r="H125" s="64">
        <f t="shared" si="177"/>
        <v>7203.48</v>
      </c>
      <c r="I125" s="64">
        <f t="shared" si="177"/>
        <v>100</v>
      </c>
      <c r="J125" s="64">
        <f t="shared" si="177"/>
        <v>21774.67</v>
      </c>
      <c r="K125" s="64">
        <v>35</v>
      </c>
      <c r="L125" s="64">
        <f t="shared" ref="L125:R125" si="178">SUM(L126:L129)</f>
        <v>35</v>
      </c>
      <c r="M125" s="64">
        <f t="shared" si="178"/>
        <v>1050</v>
      </c>
      <c r="N125" s="64">
        <f t="shared" si="178"/>
        <v>7303.48</v>
      </c>
      <c r="O125" s="64">
        <f t="shared" si="178"/>
        <v>1766</v>
      </c>
      <c r="P125" s="82">
        <f t="shared" si="178"/>
        <v>300</v>
      </c>
      <c r="Q125" s="82">
        <f t="shared" si="178"/>
        <v>4697.48</v>
      </c>
      <c r="R125" s="82">
        <f t="shared" si="178"/>
        <v>540</v>
      </c>
      <c r="S125" s="64">
        <f>VLOOKUP(B125,[1]补助标准!B:L,7,FALSE)</f>
        <v>0.1946</v>
      </c>
      <c r="T125" s="64"/>
      <c r="U125" s="82"/>
      <c r="V125" s="64"/>
      <c r="W125" s="82">
        <f>SUM(W126:W129)</f>
        <v>1079</v>
      </c>
      <c r="X125" s="64">
        <f>SUM(X126:X129)</f>
        <v>1071</v>
      </c>
      <c r="Y125" s="64"/>
      <c r="Z125" s="82">
        <f t="shared" si="132"/>
        <v>1071</v>
      </c>
      <c r="AA125" s="82"/>
      <c r="AB125" s="82"/>
      <c r="AC125" s="64"/>
    </row>
    <row r="126" s="42" customFormat="true" ht="25.5" spans="1:29">
      <c r="A126" s="64">
        <v>1</v>
      </c>
      <c r="B126" s="65" t="s">
        <v>329</v>
      </c>
      <c r="C126" s="66" t="s">
        <v>330</v>
      </c>
      <c r="D126" s="65" t="s">
        <v>72</v>
      </c>
      <c r="E126" s="65" t="s">
        <v>331</v>
      </c>
      <c r="F126" s="65" t="s">
        <v>332</v>
      </c>
      <c r="G126" s="64">
        <v>10752.67</v>
      </c>
      <c r="H126" s="64">
        <v>4816.65</v>
      </c>
      <c r="I126" s="64">
        <v>0</v>
      </c>
      <c r="J126" s="64">
        <v>10752.67</v>
      </c>
      <c r="K126" s="64">
        <v>18</v>
      </c>
      <c r="L126" s="64">
        <v>18</v>
      </c>
      <c r="M126" s="64">
        <v>540</v>
      </c>
      <c r="N126" s="64">
        <v>4816.65</v>
      </c>
      <c r="O126" s="64">
        <v>1000</v>
      </c>
      <c r="P126" s="64">
        <v>100</v>
      </c>
      <c r="Q126" s="64">
        <v>3716.65</v>
      </c>
      <c r="R126" s="64">
        <v>0</v>
      </c>
      <c r="S126" s="64">
        <f>S125</f>
        <v>0.1946</v>
      </c>
      <c r="T126" s="64">
        <f t="shared" ref="T126:T129" si="179">IF(D126="扶持",0.4,(IF(D126="新建",1,IF(D126="改建",0.45,IF(D126="扩建",0.6,IF(D126="配建",0.4,0))))))</f>
        <v>1</v>
      </c>
      <c r="U126" s="64">
        <f t="shared" ref="U126:U129" si="180">IF(L126&gt;=12,3200,IF(L126&gt;=9,2500,IF(L126&gt;=6,1800,1200)))</f>
        <v>3200</v>
      </c>
      <c r="V126" s="64">
        <f t="shared" ref="V126:V129" si="181">ROUND(MIN(G126,U126),0)</f>
        <v>3200</v>
      </c>
      <c r="W126" s="64">
        <f t="shared" ref="W126:W129" si="182">ROUND(S126*V126*T126,0)</f>
        <v>623</v>
      </c>
      <c r="X126" s="64">
        <f t="shared" ref="X126:X129" si="183">MIN(W126,O126)</f>
        <v>623</v>
      </c>
      <c r="Y126" s="64"/>
      <c r="Z126" s="64">
        <f t="shared" si="132"/>
        <v>623</v>
      </c>
      <c r="AA126" s="64">
        <v>2022.8</v>
      </c>
      <c r="AB126" s="64">
        <v>2023.8</v>
      </c>
      <c r="AC126" s="64"/>
    </row>
    <row r="127" s="42" customFormat="true" ht="25.5" spans="1:29">
      <c r="A127" s="64">
        <v>1</v>
      </c>
      <c r="B127" s="65" t="s">
        <v>333</v>
      </c>
      <c r="C127" s="66" t="s">
        <v>334</v>
      </c>
      <c r="D127" s="65" t="s">
        <v>65</v>
      </c>
      <c r="E127" s="65" t="s">
        <v>335</v>
      </c>
      <c r="F127" s="65" t="s">
        <v>336</v>
      </c>
      <c r="G127" s="64">
        <v>2388</v>
      </c>
      <c r="H127" s="64">
        <v>546.83</v>
      </c>
      <c r="I127" s="64">
        <v>0</v>
      </c>
      <c r="J127" s="64">
        <v>2388</v>
      </c>
      <c r="K127" s="64">
        <v>6</v>
      </c>
      <c r="L127" s="64">
        <f t="shared" ref="L127:L129" si="184">M127/30</f>
        <v>6</v>
      </c>
      <c r="M127" s="64">
        <v>180</v>
      </c>
      <c r="N127" s="64">
        <v>546.83</v>
      </c>
      <c r="O127" s="64">
        <v>150</v>
      </c>
      <c r="P127" s="64">
        <v>100</v>
      </c>
      <c r="Q127" s="64">
        <v>296.83</v>
      </c>
      <c r="R127" s="64">
        <v>0</v>
      </c>
      <c r="S127" s="64">
        <f>S125</f>
        <v>0.1946</v>
      </c>
      <c r="T127" s="64">
        <f t="shared" si="179"/>
        <v>0.45</v>
      </c>
      <c r="U127" s="64">
        <f t="shared" si="180"/>
        <v>1800</v>
      </c>
      <c r="V127" s="64">
        <f t="shared" si="181"/>
        <v>1800</v>
      </c>
      <c r="W127" s="64">
        <f t="shared" si="182"/>
        <v>158</v>
      </c>
      <c r="X127" s="64">
        <f t="shared" si="183"/>
        <v>150</v>
      </c>
      <c r="Y127" s="64"/>
      <c r="Z127" s="64">
        <f t="shared" si="132"/>
        <v>150</v>
      </c>
      <c r="AA127" s="64">
        <v>2022.3</v>
      </c>
      <c r="AB127" s="64">
        <v>2022.8</v>
      </c>
      <c r="AC127" s="64"/>
    </row>
    <row r="128" s="41" customFormat="true" ht="38.25" spans="1:29">
      <c r="A128" s="64"/>
      <c r="B128" s="65" t="s">
        <v>337</v>
      </c>
      <c r="C128" s="66" t="s">
        <v>338</v>
      </c>
      <c r="D128" s="65" t="s">
        <v>61</v>
      </c>
      <c r="E128" s="65" t="s">
        <v>257</v>
      </c>
      <c r="F128" s="65" t="s">
        <v>339</v>
      </c>
      <c r="G128" s="64">
        <v>1634</v>
      </c>
      <c r="H128" s="64">
        <v>340</v>
      </c>
      <c r="I128" s="64">
        <v>100</v>
      </c>
      <c r="J128" s="64">
        <v>3934</v>
      </c>
      <c r="K128" s="64">
        <v>5</v>
      </c>
      <c r="L128" s="64">
        <f t="shared" si="184"/>
        <v>5</v>
      </c>
      <c r="M128" s="64">
        <v>150</v>
      </c>
      <c r="N128" s="64">
        <f>SUM(O128:R128)</f>
        <v>440</v>
      </c>
      <c r="O128" s="64">
        <v>200</v>
      </c>
      <c r="P128" s="64"/>
      <c r="Q128" s="64"/>
      <c r="R128" s="64">
        <v>240</v>
      </c>
      <c r="S128" s="64">
        <f>S125</f>
        <v>0.1946</v>
      </c>
      <c r="T128" s="64">
        <f t="shared" si="179"/>
        <v>0.6</v>
      </c>
      <c r="U128" s="64">
        <f t="shared" si="180"/>
        <v>1200</v>
      </c>
      <c r="V128" s="64">
        <f t="shared" si="181"/>
        <v>1200</v>
      </c>
      <c r="W128" s="64">
        <f t="shared" si="182"/>
        <v>140</v>
      </c>
      <c r="X128" s="64">
        <f t="shared" si="183"/>
        <v>140</v>
      </c>
      <c r="Y128" s="64"/>
      <c r="Z128" s="64">
        <f t="shared" si="132"/>
        <v>140</v>
      </c>
      <c r="AA128" s="64">
        <v>2021.6</v>
      </c>
      <c r="AB128" s="64">
        <v>2022.6</v>
      </c>
      <c r="AC128" s="64"/>
    </row>
    <row r="129" s="41" customFormat="true" ht="25.5" spans="1:29">
      <c r="A129" s="64"/>
      <c r="B129" s="65" t="s">
        <v>340</v>
      </c>
      <c r="C129" s="66" t="s">
        <v>341</v>
      </c>
      <c r="D129" s="100" t="s">
        <v>65</v>
      </c>
      <c r="E129" s="100" t="s">
        <v>331</v>
      </c>
      <c r="F129" s="100" t="s">
        <v>342</v>
      </c>
      <c r="G129" s="86">
        <v>4700</v>
      </c>
      <c r="H129" s="86">
        <v>1500</v>
      </c>
      <c r="I129" s="86">
        <v>0</v>
      </c>
      <c r="J129" s="86">
        <v>4700</v>
      </c>
      <c r="K129" s="64">
        <v>6</v>
      </c>
      <c r="L129" s="64">
        <f t="shared" si="184"/>
        <v>6</v>
      </c>
      <c r="M129" s="64">
        <v>180</v>
      </c>
      <c r="N129" s="64">
        <f>SUM(O129:R129)</f>
        <v>1500</v>
      </c>
      <c r="O129" s="64">
        <v>416</v>
      </c>
      <c r="P129" s="64">
        <v>100</v>
      </c>
      <c r="Q129" s="64">
        <v>684</v>
      </c>
      <c r="R129" s="64">
        <v>300</v>
      </c>
      <c r="S129" s="64">
        <f>S125</f>
        <v>0.1946</v>
      </c>
      <c r="T129" s="64">
        <f t="shared" si="179"/>
        <v>0.45</v>
      </c>
      <c r="U129" s="64">
        <f t="shared" si="180"/>
        <v>1800</v>
      </c>
      <c r="V129" s="64">
        <f t="shared" si="181"/>
        <v>1800</v>
      </c>
      <c r="W129" s="64">
        <f t="shared" si="182"/>
        <v>158</v>
      </c>
      <c r="X129" s="64">
        <f t="shared" si="183"/>
        <v>158</v>
      </c>
      <c r="Y129" s="64"/>
      <c r="Z129" s="64">
        <f t="shared" si="132"/>
        <v>158</v>
      </c>
      <c r="AA129" s="64">
        <v>2022.9</v>
      </c>
      <c r="AB129" s="64">
        <v>2023.8</v>
      </c>
      <c r="AC129" s="64"/>
    </row>
    <row r="130" s="42" customFormat="true" spans="1:29">
      <c r="A130" s="64">
        <v>1</v>
      </c>
      <c r="B130" s="71" t="s">
        <v>343</v>
      </c>
      <c r="C130" s="65">
        <v>3</v>
      </c>
      <c r="D130" s="65"/>
      <c r="E130" s="65"/>
      <c r="F130" s="76"/>
      <c r="G130" s="64">
        <f t="shared" ref="G130:J130" si="185">SUM(G131:G133)</f>
        <v>17195</v>
      </c>
      <c r="H130" s="64">
        <f t="shared" si="185"/>
        <v>5900</v>
      </c>
      <c r="I130" s="64">
        <f t="shared" si="185"/>
        <v>300</v>
      </c>
      <c r="J130" s="64">
        <f t="shared" si="185"/>
        <v>17195</v>
      </c>
      <c r="K130" s="64">
        <v>45</v>
      </c>
      <c r="L130" s="64">
        <f t="shared" ref="L130:R130" si="186">SUM(L131:L133)</f>
        <v>45</v>
      </c>
      <c r="M130" s="64">
        <f t="shared" si="186"/>
        <v>1350</v>
      </c>
      <c r="N130" s="64">
        <f t="shared" si="186"/>
        <v>6200</v>
      </c>
      <c r="O130" s="64">
        <f t="shared" si="186"/>
        <v>1860</v>
      </c>
      <c r="P130" s="82">
        <f t="shared" si="186"/>
        <v>200</v>
      </c>
      <c r="Q130" s="82">
        <f t="shared" si="186"/>
        <v>0</v>
      </c>
      <c r="R130" s="82">
        <f t="shared" si="186"/>
        <v>4140</v>
      </c>
      <c r="S130" s="64">
        <f>VLOOKUP(B130,[1]补助标准!B:L,7,FALSE)</f>
        <v>0.1946</v>
      </c>
      <c r="T130" s="64"/>
      <c r="U130" s="82"/>
      <c r="V130" s="64"/>
      <c r="W130" s="82">
        <f>SUM(W131:W133)</f>
        <v>1441</v>
      </c>
      <c r="X130" s="64">
        <f>SUM(X131:X133)</f>
        <v>1441</v>
      </c>
      <c r="Y130" s="64"/>
      <c r="Z130" s="82">
        <f t="shared" si="132"/>
        <v>1441</v>
      </c>
      <c r="AA130" s="82"/>
      <c r="AB130" s="82"/>
      <c r="AC130" s="64"/>
    </row>
    <row r="131" s="42" customFormat="true" ht="25.5" spans="1:29">
      <c r="A131" s="64">
        <v>1</v>
      </c>
      <c r="B131" s="65" t="s">
        <v>344</v>
      </c>
      <c r="C131" s="66" t="s">
        <v>345</v>
      </c>
      <c r="D131" s="65" t="s">
        <v>72</v>
      </c>
      <c r="E131" s="100" t="s">
        <v>346</v>
      </c>
      <c r="F131" s="100" t="s">
        <v>347</v>
      </c>
      <c r="G131" s="86">
        <v>7185</v>
      </c>
      <c r="H131" s="86">
        <v>2800</v>
      </c>
      <c r="I131" s="86">
        <v>0</v>
      </c>
      <c r="J131" s="86">
        <v>7185</v>
      </c>
      <c r="K131" s="86">
        <v>18</v>
      </c>
      <c r="L131" s="64">
        <v>18</v>
      </c>
      <c r="M131" s="120">
        <v>540</v>
      </c>
      <c r="N131" s="120">
        <v>2800</v>
      </c>
      <c r="O131" s="120">
        <v>840</v>
      </c>
      <c r="P131" s="120">
        <v>100</v>
      </c>
      <c r="Q131" s="120">
        <v>0</v>
      </c>
      <c r="R131" s="120">
        <v>1860</v>
      </c>
      <c r="S131" s="64">
        <f>S130</f>
        <v>0.1946</v>
      </c>
      <c r="T131" s="64">
        <f t="shared" ref="T131:T133" si="187">IF(D131="扶持",0.4,(IF(D131="新建",1,IF(D131="改建",0.45,IF(D131="扩建",0.6,IF(D131="配建",0.4,0))))))</f>
        <v>1</v>
      </c>
      <c r="U131" s="64">
        <f t="shared" ref="U131:U133" si="188">IF(L131&gt;=12,3200,IF(L131&gt;=9,2500,IF(L131&gt;=6,1800,1200)))</f>
        <v>3200</v>
      </c>
      <c r="V131" s="64">
        <f t="shared" ref="V131:V133" si="189">ROUND(MIN(G131,U131),0)</f>
        <v>3200</v>
      </c>
      <c r="W131" s="64">
        <f t="shared" ref="W131:W133" si="190">ROUND(S131*V131*T131,0)</f>
        <v>623</v>
      </c>
      <c r="X131" s="64">
        <f t="shared" ref="X131:X133" si="191">MIN(W131,O131)</f>
        <v>623</v>
      </c>
      <c r="Y131" s="64"/>
      <c r="Z131" s="64">
        <f t="shared" si="132"/>
        <v>623</v>
      </c>
      <c r="AA131" s="120">
        <v>2022.11</v>
      </c>
      <c r="AB131" s="64">
        <v>2023.12</v>
      </c>
      <c r="AC131" s="64"/>
    </row>
    <row r="132" s="42" customFormat="true" ht="51" spans="1:29">
      <c r="A132" s="64">
        <v>2</v>
      </c>
      <c r="B132" s="65" t="s">
        <v>344</v>
      </c>
      <c r="C132" s="66" t="s">
        <v>348</v>
      </c>
      <c r="D132" s="65" t="s">
        <v>72</v>
      </c>
      <c r="E132" s="100" t="s">
        <v>349</v>
      </c>
      <c r="F132" s="100" t="s">
        <v>347</v>
      </c>
      <c r="G132" s="86">
        <v>7010</v>
      </c>
      <c r="H132" s="86">
        <v>2600</v>
      </c>
      <c r="I132" s="86">
        <v>0</v>
      </c>
      <c r="J132" s="86">
        <v>7010</v>
      </c>
      <c r="K132" s="86">
        <v>18</v>
      </c>
      <c r="L132" s="64">
        <v>18</v>
      </c>
      <c r="M132" s="120">
        <v>540</v>
      </c>
      <c r="N132" s="120">
        <v>2600</v>
      </c>
      <c r="O132" s="120">
        <v>780</v>
      </c>
      <c r="P132" s="120">
        <v>100</v>
      </c>
      <c r="Q132" s="120">
        <v>0</v>
      </c>
      <c r="R132" s="120">
        <v>1720</v>
      </c>
      <c r="S132" s="64">
        <f>S130</f>
        <v>0.1946</v>
      </c>
      <c r="T132" s="64">
        <f t="shared" si="187"/>
        <v>1</v>
      </c>
      <c r="U132" s="64">
        <f t="shared" si="188"/>
        <v>3200</v>
      </c>
      <c r="V132" s="64">
        <f t="shared" si="189"/>
        <v>3200</v>
      </c>
      <c r="W132" s="64">
        <f t="shared" si="190"/>
        <v>623</v>
      </c>
      <c r="X132" s="64">
        <f t="shared" si="191"/>
        <v>623</v>
      </c>
      <c r="Y132" s="64"/>
      <c r="Z132" s="64">
        <f t="shared" si="132"/>
        <v>623</v>
      </c>
      <c r="AA132" s="120">
        <v>2022.11</v>
      </c>
      <c r="AB132" s="64">
        <v>2023.12</v>
      </c>
      <c r="AC132" s="64"/>
    </row>
    <row r="133" s="42" customFormat="true" ht="25.5" spans="1:29">
      <c r="A133" s="64">
        <v>1</v>
      </c>
      <c r="B133" s="65" t="s">
        <v>103</v>
      </c>
      <c r="C133" s="66" t="s">
        <v>350</v>
      </c>
      <c r="D133" s="65" t="s">
        <v>81</v>
      </c>
      <c r="E133" s="100" t="s">
        <v>351</v>
      </c>
      <c r="F133" s="100" t="s">
        <v>327</v>
      </c>
      <c r="G133" s="86">
        <v>3000</v>
      </c>
      <c r="H133" s="86">
        <v>500</v>
      </c>
      <c r="I133" s="86">
        <v>300</v>
      </c>
      <c r="J133" s="86">
        <v>3000</v>
      </c>
      <c r="K133" s="86">
        <v>9</v>
      </c>
      <c r="L133" s="64">
        <v>9</v>
      </c>
      <c r="M133" s="120">
        <v>270</v>
      </c>
      <c r="N133" s="120">
        <v>800</v>
      </c>
      <c r="O133" s="120">
        <v>240</v>
      </c>
      <c r="P133" s="120">
        <v>0</v>
      </c>
      <c r="Q133" s="120">
        <v>0</v>
      </c>
      <c r="R133" s="120">
        <v>560</v>
      </c>
      <c r="S133" s="64">
        <f>S130</f>
        <v>0.1946</v>
      </c>
      <c r="T133" s="64">
        <f t="shared" si="187"/>
        <v>0.4</v>
      </c>
      <c r="U133" s="64">
        <f t="shared" si="188"/>
        <v>2500</v>
      </c>
      <c r="V133" s="64">
        <f t="shared" si="189"/>
        <v>2500</v>
      </c>
      <c r="W133" s="64">
        <f t="shared" si="190"/>
        <v>195</v>
      </c>
      <c r="X133" s="64">
        <f t="shared" si="191"/>
        <v>195</v>
      </c>
      <c r="Y133" s="64"/>
      <c r="Z133" s="64">
        <f t="shared" si="132"/>
        <v>195</v>
      </c>
      <c r="AA133" s="122">
        <v>2022.1</v>
      </c>
      <c r="AB133" s="123">
        <v>2023.09</v>
      </c>
      <c r="AC133" s="64"/>
    </row>
    <row r="134" s="42" customFormat="true" spans="1:29">
      <c r="A134" s="64">
        <v>1</v>
      </c>
      <c r="B134" s="71" t="s">
        <v>352</v>
      </c>
      <c r="C134" s="65">
        <v>2</v>
      </c>
      <c r="D134" s="65"/>
      <c r="E134" s="76"/>
      <c r="F134" s="76"/>
      <c r="G134" s="64">
        <f t="shared" ref="G134:J134" si="192">SUM(G135:G136)</f>
        <v>7994</v>
      </c>
      <c r="H134" s="64">
        <f t="shared" si="192"/>
        <v>3100</v>
      </c>
      <c r="I134" s="64">
        <f t="shared" si="192"/>
        <v>750</v>
      </c>
      <c r="J134" s="64">
        <f t="shared" si="192"/>
        <v>7994</v>
      </c>
      <c r="K134" s="64">
        <v>18</v>
      </c>
      <c r="L134" s="64">
        <f t="shared" ref="L134:R134" si="193">SUM(L135:L136)</f>
        <v>18</v>
      </c>
      <c r="M134" s="64">
        <f t="shared" si="193"/>
        <v>540</v>
      </c>
      <c r="N134" s="64">
        <f t="shared" si="193"/>
        <v>3850</v>
      </c>
      <c r="O134" s="64">
        <f t="shared" si="193"/>
        <v>1200</v>
      </c>
      <c r="P134" s="82">
        <f t="shared" si="193"/>
        <v>150</v>
      </c>
      <c r="Q134" s="82">
        <f t="shared" si="193"/>
        <v>2500</v>
      </c>
      <c r="R134" s="82">
        <f t="shared" si="193"/>
        <v>0</v>
      </c>
      <c r="S134" s="64">
        <f>VLOOKUP(B134,[1]补助标准!B:L,7,FALSE)</f>
        <v>0.1946</v>
      </c>
      <c r="T134" s="64"/>
      <c r="U134" s="82"/>
      <c r="V134" s="64"/>
      <c r="W134" s="82">
        <f>SUM(W135:W136)</f>
        <v>781</v>
      </c>
      <c r="X134" s="64">
        <f>SUM(X135:X136)</f>
        <v>781</v>
      </c>
      <c r="Y134" s="64"/>
      <c r="Z134" s="82">
        <f t="shared" si="132"/>
        <v>781</v>
      </c>
      <c r="AA134" s="82"/>
      <c r="AB134" s="82"/>
      <c r="AC134" s="64"/>
    </row>
    <row r="135" s="42" customFormat="true" ht="25.5" spans="1:29">
      <c r="A135" s="64">
        <v>1</v>
      </c>
      <c r="B135" s="65" t="s">
        <v>353</v>
      </c>
      <c r="C135" s="66" t="s">
        <v>354</v>
      </c>
      <c r="D135" s="65" t="s">
        <v>72</v>
      </c>
      <c r="E135" s="65" t="s">
        <v>355</v>
      </c>
      <c r="F135" s="100" t="s">
        <v>356</v>
      </c>
      <c r="G135" s="64">
        <v>6194</v>
      </c>
      <c r="H135" s="64">
        <v>2800</v>
      </c>
      <c r="I135" s="64">
        <v>700</v>
      </c>
      <c r="J135" s="64">
        <v>6194</v>
      </c>
      <c r="K135" s="64">
        <v>12</v>
      </c>
      <c r="L135" s="64">
        <v>12</v>
      </c>
      <c r="M135" s="64">
        <v>360</v>
      </c>
      <c r="N135" s="64">
        <v>3500</v>
      </c>
      <c r="O135" s="64">
        <v>1000</v>
      </c>
      <c r="P135" s="64">
        <v>100</v>
      </c>
      <c r="Q135" s="64">
        <v>2400</v>
      </c>
      <c r="R135" s="64">
        <v>0</v>
      </c>
      <c r="S135" s="64">
        <f>S134</f>
        <v>0.1946</v>
      </c>
      <c r="T135" s="64">
        <f t="shared" ref="T135:T147" si="194">IF(D135="扶持",0.4,(IF(D135="新建",1,IF(D135="改建",0.45,IF(D135="扩建",0.6,IF(D135="配建",0.4,0))))))</f>
        <v>1</v>
      </c>
      <c r="U135" s="64">
        <f t="shared" ref="U135:U147" si="195">IF(L135&gt;=12,3200,IF(L135&gt;=9,2500,IF(L135&gt;=6,1800,1200)))</f>
        <v>3200</v>
      </c>
      <c r="V135" s="64">
        <f t="shared" ref="V135:V147" si="196">ROUND(MIN(G135,U135),0)</f>
        <v>3200</v>
      </c>
      <c r="W135" s="64">
        <f t="shared" ref="W135:W147" si="197">ROUND(S135*V135*T135,0)</f>
        <v>623</v>
      </c>
      <c r="X135" s="64">
        <f t="shared" ref="X135:X147" si="198">MIN(W135,O135)</f>
        <v>623</v>
      </c>
      <c r="Y135" s="64"/>
      <c r="Z135" s="64">
        <f t="shared" si="132"/>
        <v>623</v>
      </c>
      <c r="AA135" s="64">
        <v>2022.03</v>
      </c>
      <c r="AB135" s="64">
        <v>2023.06</v>
      </c>
      <c r="AC135" s="64"/>
    </row>
    <row r="136" s="42" customFormat="true" ht="25.5" spans="1:29">
      <c r="A136" s="64">
        <v>1</v>
      </c>
      <c r="B136" s="65" t="s">
        <v>357</v>
      </c>
      <c r="C136" s="93" t="s">
        <v>358</v>
      </c>
      <c r="D136" s="65" t="s">
        <v>65</v>
      </c>
      <c r="E136" s="65" t="s">
        <v>257</v>
      </c>
      <c r="F136" s="65" t="s">
        <v>359</v>
      </c>
      <c r="G136" s="64">
        <v>1800</v>
      </c>
      <c r="H136" s="64">
        <v>300</v>
      </c>
      <c r="I136" s="64">
        <v>50</v>
      </c>
      <c r="J136" s="64">
        <v>1800</v>
      </c>
      <c r="K136" s="64">
        <v>6</v>
      </c>
      <c r="L136" s="64">
        <f>M136/30</f>
        <v>6</v>
      </c>
      <c r="M136" s="64">
        <v>180</v>
      </c>
      <c r="N136" s="64">
        <v>350</v>
      </c>
      <c r="O136" s="64">
        <v>200</v>
      </c>
      <c r="P136" s="64">
        <v>50</v>
      </c>
      <c r="Q136" s="64">
        <v>100</v>
      </c>
      <c r="R136" s="64">
        <v>0</v>
      </c>
      <c r="S136" s="64">
        <f>S134</f>
        <v>0.1946</v>
      </c>
      <c r="T136" s="64">
        <f t="shared" si="194"/>
        <v>0.45</v>
      </c>
      <c r="U136" s="64">
        <f t="shared" si="195"/>
        <v>1800</v>
      </c>
      <c r="V136" s="64">
        <f t="shared" si="196"/>
        <v>1800</v>
      </c>
      <c r="W136" s="64">
        <f t="shared" si="197"/>
        <v>158</v>
      </c>
      <c r="X136" s="64">
        <f t="shared" si="198"/>
        <v>158</v>
      </c>
      <c r="Y136" s="64"/>
      <c r="Z136" s="64">
        <f t="shared" si="132"/>
        <v>158</v>
      </c>
      <c r="AA136" s="64">
        <v>2022.08</v>
      </c>
      <c r="AB136" s="64">
        <v>2023.07</v>
      </c>
      <c r="AC136" s="64"/>
    </row>
    <row r="137" s="42" customFormat="true" spans="1:29">
      <c r="A137" s="64">
        <v>1</v>
      </c>
      <c r="B137" s="71" t="s">
        <v>360</v>
      </c>
      <c r="C137" s="65">
        <v>10</v>
      </c>
      <c r="D137" s="65"/>
      <c r="E137" s="76"/>
      <c r="F137" s="76"/>
      <c r="G137" s="64">
        <f t="shared" ref="G137:J137" si="199">SUM(G138:G147)</f>
        <v>92501.12</v>
      </c>
      <c r="H137" s="64">
        <f t="shared" si="199"/>
        <v>10190.12</v>
      </c>
      <c r="I137" s="64">
        <f t="shared" si="199"/>
        <v>6775</v>
      </c>
      <c r="J137" s="64">
        <f t="shared" si="199"/>
        <v>92501.12</v>
      </c>
      <c r="K137" s="64">
        <v>150</v>
      </c>
      <c r="L137" s="64">
        <f t="shared" ref="L137:R137" si="200">SUM(L138:L147)</f>
        <v>159</v>
      </c>
      <c r="M137" s="64">
        <f t="shared" si="200"/>
        <v>4500</v>
      </c>
      <c r="N137" s="64">
        <f t="shared" si="200"/>
        <v>16965.12</v>
      </c>
      <c r="O137" s="64">
        <f t="shared" si="200"/>
        <v>5899</v>
      </c>
      <c r="P137" s="82">
        <f t="shared" si="200"/>
        <v>300</v>
      </c>
      <c r="Q137" s="82">
        <f t="shared" si="200"/>
        <v>325</v>
      </c>
      <c r="R137" s="82">
        <f t="shared" si="200"/>
        <v>10441.12</v>
      </c>
      <c r="S137" s="64">
        <f>VLOOKUP(B137,[1]补助标准!B:L,7,FALSE)</f>
        <v>0.1946</v>
      </c>
      <c r="T137" s="64"/>
      <c r="U137" s="82"/>
      <c r="V137" s="64"/>
      <c r="W137" s="82">
        <f>SUM(W138:W147)</f>
        <v>3476</v>
      </c>
      <c r="X137" s="64">
        <f>SUM(X138:X147)</f>
        <v>3476</v>
      </c>
      <c r="Y137" s="64"/>
      <c r="Z137" s="82">
        <f t="shared" si="132"/>
        <v>3476</v>
      </c>
      <c r="AA137" s="82"/>
      <c r="AB137" s="82"/>
      <c r="AC137" s="64"/>
    </row>
    <row r="138" s="42" customFormat="true" ht="25.5" spans="1:29">
      <c r="A138" s="64">
        <v>1</v>
      </c>
      <c r="B138" s="65" t="s">
        <v>361</v>
      </c>
      <c r="C138" s="66" t="s">
        <v>362</v>
      </c>
      <c r="D138" s="65" t="s">
        <v>72</v>
      </c>
      <c r="E138" s="65" t="s">
        <v>363</v>
      </c>
      <c r="F138" s="65" t="s">
        <v>364</v>
      </c>
      <c r="G138" s="64">
        <v>4329.86</v>
      </c>
      <c r="H138" s="64">
        <v>1500</v>
      </c>
      <c r="I138" s="64">
        <v>375</v>
      </c>
      <c r="J138" s="64">
        <v>4329.86</v>
      </c>
      <c r="K138" s="64">
        <v>9</v>
      </c>
      <c r="L138" s="64">
        <v>9</v>
      </c>
      <c r="M138" s="64">
        <v>270</v>
      </c>
      <c r="N138" s="64">
        <v>1875</v>
      </c>
      <c r="O138" s="64">
        <v>540</v>
      </c>
      <c r="P138" s="64">
        <v>100</v>
      </c>
      <c r="Q138" s="64">
        <v>125</v>
      </c>
      <c r="R138" s="121">
        <v>1110</v>
      </c>
      <c r="S138" s="64">
        <f t="shared" ref="S138:S147" si="201">$S$137</f>
        <v>0.1946</v>
      </c>
      <c r="T138" s="64">
        <f t="shared" si="194"/>
        <v>1</v>
      </c>
      <c r="U138" s="64">
        <f t="shared" si="195"/>
        <v>2500</v>
      </c>
      <c r="V138" s="64">
        <f t="shared" si="196"/>
        <v>2500</v>
      </c>
      <c r="W138" s="64">
        <f t="shared" si="197"/>
        <v>487</v>
      </c>
      <c r="X138" s="64">
        <f t="shared" si="198"/>
        <v>487</v>
      </c>
      <c r="Y138" s="64"/>
      <c r="Z138" s="64">
        <f t="shared" ref="Z138:Z197" si="202">X138+Y138</f>
        <v>487</v>
      </c>
      <c r="AA138" s="64">
        <v>2021.06</v>
      </c>
      <c r="AB138" s="64">
        <v>2022.07</v>
      </c>
      <c r="AC138" s="64"/>
    </row>
    <row r="139" s="42" customFormat="true" ht="25.5" spans="1:29">
      <c r="A139" s="64">
        <v>2</v>
      </c>
      <c r="B139" s="65" t="s">
        <v>365</v>
      </c>
      <c r="C139" s="66" t="s">
        <v>366</v>
      </c>
      <c r="D139" s="65" t="s">
        <v>72</v>
      </c>
      <c r="E139" s="65" t="s">
        <v>367</v>
      </c>
      <c r="F139" s="65" t="s">
        <v>368</v>
      </c>
      <c r="G139" s="64">
        <v>9323.32</v>
      </c>
      <c r="H139" s="64">
        <v>3498.48</v>
      </c>
      <c r="I139" s="64">
        <v>500</v>
      </c>
      <c r="J139" s="64">
        <v>9323.32</v>
      </c>
      <c r="K139" s="64">
        <v>18</v>
      </c>
      <c r="L139" s="64">
        <v>18</v>
      </c>
      <c r="M139" s="64">
        <v>540</v>
      </c>
      <c r="N139" s="64">
        <v>3998.48</v>
      </c>
      <c r="O139" s="64">
        <v>1199</v>
      </c>
      <c r="P139" s="64">
        <v>100</v>
      </c>
      <c r="Q139" s="64">
        <v>100</v>
      </c>
      <c r="R139" s="103">
        <v>2599.48</v>
      </c>
      <c r="S139" s="64">
        <f t="shared" si="201"/>
        <v>0.1946</v>
      </c>
      <c r="T139" s="64">
        <f t="shared" si="194"/>
        <v>1</v>
      </c>
      <c r="U139" s="64">
        <f t="shared" si="195"/>
        <v>3200</v>
      </c>
      <c r="V139" s="64">
        <f t="shared" si="196"/>
        <v>3200</v>
      </c>
      <c r="W139" s="64">
        <f t="shared" si="197"/>
        <v>623</v>
      </c>
      <c r="X139" s="64">
        <f t="shared" si="198"/>
        <v>623</v>
      </c>
      <c r="Y139" s="64"/>
      <c r="Z139" s="64">
        <f t="shared" si="202"/>
        <v>623</v>
      </c>
      <c r="AA139" s="64">
        <v>2022.01</v>
      </c>
      <c r="AB139" s="64">
        <v>2023.09</v>
      </c>
      <c r="AC139" s="64"/>
    </row>
    <row r="140" s="42" customFormat="true" ht="25.5" spans="1:29">
      <c r="A140" s="64">
        <v>3</v>
      </c>
      <c r="B140" s="65" t="s">
        <v>365</v>
      </c>
      <c r="C140" s="66" t="s">
        <v>369</v>
      </c>
      <c r="D140" s="65" t="s">
        <v>72</v>
      </c>
      <c r="E140" s="65" t="s">
        <v>370</v>
      </c>
      <c r="F140" s="65" t="s">
        <v>371</v>
      </c>
      <c r="G140" s="64">
        <v>7066.3</v>
      </c>
      <c r="H140" s="64">
        <v>2741.64</v>
      </c>
      <c r="I140" s="64">
        <v>500</v>
      </c>
      <c r="J140" s="64">
        <v>7066.3</v>
      </c>
      <c r="K140" s="64">
        <v>15</v>
      </c>
      <c r="L140" s="64">
        <v>15</v>
      </c>
      <c r="M140" s="64">
        <v>450</v>
      </c>
      <c r="N140" s="64">
        <v>3241.64</v>
      </c>
      <c r="O140" s="64">
        <v>960</v>
      </c>
      <c r="P140" s="64">
        <v>100</v>
      </c>
      <c r="Q140" s="64">
        <v>100</v>
      </c>
      <c r="R140" s="103">
        <v>2081.64</v>
      </c>
      <c r="S140" s="64">
        <f t="shared" si="201"/>
        <v>0.1946</v>
      </c>
      <c r="T140" s="64">
        <f t="shared" si="194"/>
        <v>1</v>
      </c>
      <c r="U140" s="64">
        <f t="shared" si="195"/>
        <v>3200</v>
      </c>
      <c r="V140" s="64">
        <f t="shared" si="196"/>
        <v>3200</v>
      </c>
      <c r="W140" s="64">
        <f t="shared" si="197"/>
        <v>623</v>
      </c>
      <c r="X140" s="64">
        <f t="shared" si="198"/>
        <v>623</v>
      </c>
      <c r="Y140" s="64"/>
      <c r="Z140" s="64">
        <f t="shared" si="202"/>
        <v>623</v>
      </c>
      <c r="AA140" s="64">
        <v>2022.04</v>
      </c>
      <c r="AB140" s="64">
        <v>2023.08</v>
      </c>
      <c r="AC140" s="64"/>
    </row>
    <row r="141" s="42" customFormat="true" ht="28.5" spans="1:29">
      <c r="A141" s="64">
        <v>1</v>
      </c>
      <c r="B141" s="65" t="s">
        <v>372</v>
      </c>
      <c r="C141" s="66" t="s">
        <v>373</v>
      </c>
      <c r="D141" s="65" t="s">
        <v>81</v>
      </c>
      <c r="E141" s="65" t="s">
        <v>374</v>
      </c>
      <c r="F141" s="111" t="s">
        <v>375</v>
      </c>
      <c r="G141" s="64">
        <v>5000</v>
      </c>
      <c r="H141" s="112">
        <v>200</v>
      </c>
      <c r="I141" s="64">
        <v>600</v>
      </c>
      <c r="J141" s="64">
        <v>5000</v>
      </c>
      <c r="K141" s="64">
        <v>12</v>
      </c>
      <c r="L141" s="64">
        <v>12</v>
      </c>
      <c r="M141" s="64">
        <v>360</v>
      </c>
      <c r="N141" s="112">
        <v>800</v>
      </c>
      <c r="O141" s="112">
        <v>300</v>
      </c>
      <c r="P141" s="112">
        <v>0</v>
      </c>
      <c r="Q141" s="112">
        <v>0</v>
      </c>
      <c r="R141" s="112">
        <v>500</v>
      </c>
      <c r="S141" s="64">
        <f t="shared" si="201"/>
        <v>0.1946</v>
      </c>
      <c r="T141" s="64">
        <f t="shared" si="194"/>
        <v>0.4</v>
      </c>
      <c r="U141" s="64">
        <f t="shared" si="195"/>
        <v>3200</v>
      </c>
      <c r="V141" s="64">
        <f t="shared" si="196"/>
        <v>3200</v>
      </c>
      <c r="W141" s="64">
        <f t="shared" si="197"/>
        <v>249</v>
      </c>
      <c r="X141" s="64">
        <f t="shared" si="198"/>
        <v>249</v>
      </c>
      <c r="Y141" s="64"/>
      <c r="Z141" s="64">
        <f t="shared" si="202"/>
        <v>249</v>
      </c>
      <c r="AA141" s="86">
        <v>2021.09</v>
      </c>
      <c r="AB141" s="86">
        <v>2022.3</v>
      </c>
      <c r="AC141" s="64"/>
    </row>
    <row r="142" s="42" customFormat="true" ht="28.5" spans="1:29">
      <c r="A142" s="64">
        <v>2</v>
      </c>
      <c r="B142" s="65" t="s">
        <v>376</v>
      </c>
      <c r="C142" s="66" t="s">
        <v>377</v>
      </c>
      <c r="D142" s="65" t="s">
        <v>81</v>
      </c>
      <c r="E142" s="65" t="s">
        <v>378</v>
      </c>
      <c r="F142" s="111" t="s">
        <v>375</v>
      </c>
      <c r="G142" s="64">
        <v>7115.19</v>
      </c>
      <c r="H142" s="112">
        <v>250</v>
      </c>
      <c r="I142" s="64">
        <v>600</v>
      </c>
      <c r="J142" s="64">
        <v>7115.19</v>
      </c>
      <c r="K142" s="64">
        <v>12</v>
      </c>
      <c r="L142" s="64">
        <v>12</v>
      </c>
      <c r="M142" s="64">
        <v>360</v>
      </c>
      <c r="N142" s="112">
        <v>850</v>
      </c>
      <c r="O142" s="112">
        <v>300</v>
      </c>
      <c r="P142" s="112">
        <v>0</v>
      </c>
      <c r="Q142" s="112">
        <v>0</v>
      </c>
      <c r="R142" s="112">
        <v>550</v>
      </c>
      <c r="S142" s="64">
        <f t="shared" si="201"/>
        <v>0.1946</v>
      </c>
      <c r="T142" s="64">
        <f t="shared" si="194"/>
        <v>0.4</v>
      </c>
      <c r="U142" s="64">
        <f t="shared" si="195"/>
        <v>3200</v>
      </c>
      <c r="V142" s="64">
        <f t="shared" si="196"/>
        <v>3200</v>
      </c>
      <c r="W142" s="64">
        <f t="shared" si="197"/>
        <v>249</v>
      </c>
      <c r="X142" s="64">
        <f t="shared" si="198"/>
        <v>249</v>
      </c>
      <c r="Y142" s="64"/>
      <c r="Z142" s="64">
        <f t="shared" si="202"/>
        <v>249</v>
      </c>
      <c r="AA142" s="86">
        <v>2021.05</v>
      </c>
      <c r="AB142" s="86">
        <v>2022.06</v>
      </c>
      <c r="AC142" s="64" t="s">
        <v>379</v>
      </c>
    </row>
    <row r="143" s="42" customFormat="true" ht="28.5" spans="1:29">
      <c r="A143" s="64">
        <v>3</v>
      </c>
      <c r="B143" s="65" t="s">
        <v>380</v>
      </c>
      <c r="C143" s="66" t="s">
        <v>381</v>
      </c>
      <c r="D143" s="65" t="s">
        <v>81</v>
      </c>
      <c r="E143" s="65" t="s">
        <v>382</v>
      </c>
      <c r="F143" s="111" t="s">
        <v>375</v>
      </c>
      <c r="G143" s="64">
        <v>8400</v>
      </c>
      <c r="H143" s="112">
        <v>300</v>
      </c>
      <c r="I143" s="64">
        <v>800</v>
      </c>
      <c r="J143" s="64">
        <v>8400</v>
      </c>
      <c r="K143" s="64">
        <v>18</v>
      </c>
      <c r="L143" s="64">
        <v>18</v>
      </c>
      <c r="M143" s="64">
        <v>540</v>
      </c>
      <c r="N143" s="112">
        <v>1100</v>
      </c>
      <c r="O143" s="112">
        <v>500</v>
      </c>
      <c r="P143" s="112">
        <v>0</v>
      </c>
      <c r="Q143" s="112">
        <v>0</v>
      </c>
      <c r="R143" s="112">
        <v>600</v>
      </c>
      <c r="S143" s="64">
        <f t="shared" si="201"/>
        <v>0.1946</v>
      </c>
      <c r="T143" s="64">
        <f t="shared" si="194"/>
        <v>0.4</v>
      </c>
      <c r="U143" s="64">
        <f t="shared" si="195"/>
        <v>3200</v>
      </c>
      <c r="V143" s="64">
        <f t="shared" si="196"/>
        <v>3200</v>
      </c>
      <c r="W143" s="64">
        <f t="shared" si="197"/>
        <v>249</v>
      </c>
      <c r="X143" s="64">
        <f t="shared" si="198"/>
        <v>249</v>
      </c>
      <c r="Y143" s="64"/>
      <c r="Z143" s="64">
        <f t="shared" si="202"/>
        <v>249</v>
      </c>
      <c r="AA143" s="86">
        <v>2021.09</v>
      </c>
      <c r="AB143" s="86">
        <v>2022.07</v>
      </c>
      <c r="AC143" s="64"/>
    </row>
    <row r="144" s="42" customFormat="true" ht="28.5" spans="1:29">
      <c r="A144" s="64">
        <v>4</v>
      </c>
      <c r="B144" s="65" t="s">
        <v>383</v>
      </c>
      <c r="C144" s="66" t="s">
        <v>384</v>
      </c>
      <c r="D144" s="65" t="s">
        <v>81</v>
      </c>
      <c r="E144" s="65" t="s">
        <v>385</v>
      </c>
      <c r="F144" s="111" t="s">
        <v>375</v>
      </c>
      <c r="G144" s="64">
        <v>9763.52</v>
      </c>
      <c r="H144" s="112">
        <v>350</v>
      </c>
      <c r="I144" s="64">
        <v>800</v>
      </c>
      <c r="J144" s="64">
        <v>9763.52</v>
      </c>
      <c r="K144" s="64">
        <v>18</v>
      </c>
      <c r="L144" s="64">
        <v>18</v>
      </c>
      <c r="M144" s="64">
        <v>540</v>
      </c>
      <c r="N144" s="112">
        <v>1150</v>
      </c>
      <c r="O144" s="112">
        <v>500</v>
      </c>
      <c r="P144" s="112">
        <v>0</v>
      </c>
      <c r="Q144" s="112">
        <v>0</v>
      </c>
      <c r="R144" s="112">
        <v>650</v>
      </c>
      <c r="S144" s="64">
        <f t="shared" si="201"/>
        <v>0.1946</v>
      </c>
      <c r="T144" s="64">
        <f t="shared" si="194"/>
        <v>0.4</v>
      </c>
      <c r="U144" s="64">
        <f t="shared" si="195"/>
        <v>3200</v>
      </c>
      <c r="V144" s="64">
        <f t="shared" si="196"/>
        <v>3200</v>
      </c>
      <c r="W144" s="64">
        <f t="shared" si="197"/>
        <v>249</v>
      </c>
      <c r="X144" s="64">
        <f t="shared" si="198"/>
        <v>249</v>
      </c>
      <c r="Y144" s="64"/>
      <c r="Z144" s="64">
        <f t="shared" si="202"/>
        <v>249</v>
      </c>
      <c r="AA144" s="86">
        <v>2021.01</v>
      </c>
      <c r="AB144" s="86">
        <v>2022.08</v>
      </c>
      <c r="AC144" s="64"/>
    </row>
    <row r="145" s="42" customFormat="true" ht="28.5" spans="1:29">
      <c r="A145" s="64">
        <v>5</v>
      </c>
      <c r="B145" s="65" t="s">
        <v>386</v>
      </c>
      <c r="C145" s="66" t="s">
        <v>387</v>
      </c>
      <c r="D145" s="65" t="s">
        <v>81</v>
      </c>
      <c r="E145" s="113" t="s">
        <v>388</v>
      </c>
      <c r="F145" s="111" t="s">
        <v>375</v>
      </c>
      <c r="G145" s="110">
        <v>21735</v>
      </c>
      <c r="H145" s="114">
        <v>500</v>
      </c>
      <c r="I145" s="110">
        <v>1000</v>
      </c>
      <c r="J145" s="110">
        <v>21735</v>
      </c>
      <c r="K145" s="64">
        <v>18</v>
      </c>
      <c r="L145" s="64">
        <v>27</v>
      </c>
      <c r="M145" s="110">
        <v>540</v>
      </c>
      <c r="N145" s="114">
        <v>1500</v>
      </c>
      <c r="O145" s="116">
        <v>800</v>
      </c>
      <c r="P145" s="116">
        <v>0</v>
      </c>
      <c r="Q145" s="116">
        <v>0</v>
      </c>
      <c r="R145" s="116">
        <v>700</v>
      </c>
      <c r="S145" s="64">
        <f t="shared" si="201"/>
        <v>0.1946</v>
      </c>
      <c r="T145" s="64">
        <f t="shared" si="194"/>
        <v>0.4</v>
      </c>
      <c r="U145" s="64">
        <f t="shared" si="195"/>
        <v>3200</v>
      </c>
      <c r="V145" s="64">
        <f t="shared" si="196"/>
        <v>3200</v>
      </c>
      <c r="W145" s="64">
        <f t="shared" si="197"/>
        <v>249</v>
      </c>
      <c r="X145" s="64">
        <f t="shared" si="198"/>
        <v>249</v>
      </c>
      <c r="Y145" s="64"/>
      <c r="Z145" s="64">
        <f t="shared" si="202"/>
        <v>249</v>
      </c>
      <c r="AA145" s="110">
        <v>2021.12</v>
      </c>
      <c r="AB145" s="110">
        <v>2022.09</v>
      </c>
      <c r="AC145" s="64"/>
    </row>
    <row r="146" s="42" customFormat="true" ht="28.5" spans="1:29">
      <c r="A146" s="64">
        <v>6</v>
      </c>
      <c r="B146" s="65" t="s">
        <v>389</v>
      </c>
      <c r="C146" s="66" t="s">
        <v>390</v>
      </c>
      <c r="D146" s="65" t="s">
        <v>81</v>
      </c>
      <c r="E146" s="65" t="s">
        <v>391</v>
      </c>
      <c r="F146" s="111" t="s">
        <v>375</v>
      </c>
      <c r="G146" s="64">
        <v>6630.1</v>
      </c>
      <c r="H146" s="115">
        <v>350</v>
      </c>
      <c r="I146" s="64">
        <v>800</v>
      </c>
      <c r="J146" s="64">
        <v>6630.1</v>
      </c>
      <c r="K146" s="64">
        <v>15</v>
      </c>
      <c r="L146" s="64">
        <v>15</v>
      </c>
      <c r="M146" s="64">
        <v>450</v>
      </c>
      <c r="N146" s="115">
        <v>1150</v>
      </c>
      <c r="O146" s="115">
        <v>400</v>
      </c>
      <c r="P146" s="115">
        <v>0</v>
      </c>
      <c r="Q146" s="115">
        <v>0</v>
      </c>
      <c r="R146" s="115">
        <v>750</v>
      </c>
      <c r="S146" s="64">
        <f t="shared" si="201"/>
        <v>0.1946</v>
      </c>
      <c r="T146" s="64">
        <f t="shared" si="194"/>
        <v>0.4</v>
      </c>
      <c r="U146" s="64">
        <f t="shared" si="195"/>
        <v>3200</v>
      </c>
      <c r="V146" s="64">
        <f t="shared" si="196"/>
        <v>3200</v>
      </c>
      <c r="W146" s="64">
        <f t="shared" si="197"/>
        <v>249</v>
      </c>
      <c r="X146" s="64">
        <f t="shared" si="198"/>
        <v>249</v>
      </c>
      <c r="Y146" s="64"/>
      <c r="Z146" s="64">
        <f t="shared" si="202"/>
        <v>249</v>
      </c>
      <c r="AA146" s="86">
        <v>2021.07</v>
      </c>
      <c r="AB146" s="86">
        <v>2022.01</v>
      </c>
      <c r="AC146" s="64"/>
    </row>
    <row r="147" s="42" customFormat="true" ht="28.5" spans="1:29">
      <c r="A147" s="64">
        <v>7</v>
      </c>
      <c r="B147" s="65" t="s">
        <v>392</v>
      </c>
      <c r="C147" s="66" t="s">
        <v>393</v>
      </c>
      <c r="D147" s="65" t="s">
        <v>81</v>
      </c>
      <c r="E147" s="95" t="s">
        <v>394</v>
      </c>
      <c r="F147" s="111" t="s">
        <v>375</v>
      </c>
      <c r="G147" s="64">
        <v>13137.83</v>
      </c>
      <c r="H147" s="116">
        <v>500</v>
      </c>
      <c r="I147" s="64">
        <v>800</v>
      </c>
      <c r="J147" s="64">
        <v>13137.83</v>
      </c>
      <c r="K147" s="64">
        <v>15</v>
      </c>
      <c r="L147" s="64">
        <v>15</v>
      </c>
      <c r="M147" s="64">
        <v>450</v>
      </c>
      <c r="N147" s="116">
        <v>1300</v>
      </c>
      <c r="O147" s="116">
        <v>400</v>
      </c>
      <c r="P147" s="116">
        <v>0</v>
      </c>
      <c r="Q147" s="116">
        <v>0</v>
      </c>
      <c r="R147" s="116">
        <v>900</v>
      </c>
      <c r="S147" s="64">
        <f t="shared" si="201"/>
        <v>0.1946</v>
      </c>
      <c r="T147" s="64">
        <f t="shared" si="194"/>
        <v>0.4</v>
      </c>
      <c r="U147" s="64">
        <f t="shared" si="195"/>
        <v>3200</v>
      </c>
      <c r="V147" s="64">
        <f t="shared" si="196"/>
        <v>3200</v>
      </c>
      <c r="W147" s="64">
        <f t="shared" si="197"/>
        <v>249</v>
      </c>
      <c r="X147" s="64">
        <f t="shared" si="198"/>
        <v>249</v>
      </c>
      <c r="Y147" s="64"/>
      <c r="Z147" s="64">
        <f t="shared" si="202"/>
        <v>249</v>
      </c>
      <c r="AA147" s="86">
        <v>2022.01</v>
      </c>
      <c r="AB147" s="86">
        <v>2022.12</v>
      </c>
      <c r="AC147" s="64"/>
    </row>
    <row r="148" s="42" customFormat="true" spans="1:29">
      <c r="A148" s="64">
        <v>1</v>
      </c>
      <c r="B148" s="71" t="s">
        <v>395</v>
      </c>
      <c r="C148" s="65">
        <v>1</v>
      </c>
      <c r="D148" s="65"/>
      <c r="E148" s="76"/>
      <c r="F148" s="76"/>
      <c r="G148" s="64">
        <v>4300</v>
      </c>
      <c r="H148" s="64">
        <v>2140</v>
      </c>
      <c r="I148" s="64">
        <v>600</v>
      </c>
      <c r="J148" s="64">
        <v>4300</v>
      </c>
      <c r="K148" s="64">
        <v>12</v>
      </c>
      <c r="L148" s="64">
        <v>12</v>
      </c>
      <c r="M148" s="64">
        <v>360</v>
      </c>
      <c r="N148" s="64">
        <v>2740</v>
      </c>
      <c r="O148" s="64">
        <v>947</v>
      </c>
      <c r="P148" s="82">
        <v>100</v>
      </c>
      <c r="Q148" s="82">
        <v>1693</v>
      </c>
      <c r="R148" s="82">
        <v>0</v>
      </c>
      <c r="S148" s="64">
        <f>VLOOKUP(B148,[1]补助标准!B:L,7,FALSE)</f>
        <v>0.1946</v>
      </c>
      <c r="T148" s="64"/>
      <c r="U148" s="82"/>
      <c r="V148" s="64"/>
      <c r="W148" s="82">
        <f>W149</f>
        <v>623</v>
      </c>
      <c r="X148" s="64">
        <f>X149</f>
        <v>623</v>
      </c>
      <c r="Y148" s="64"/>
      <c r="Z148" s="82">
        <f t="shared" si="202"/>
        <v>623</v>
      </c>
      <c r="AA148" s="82"/>
      <c r="AB148" s="82"/>
      <c r="AC148" s="64"/>
    </row>
    <row r="149" s="42" customFormat="true" ht="25.5" spans="1:29">
      <c r="A149" s="64">
        <v>1</v>
      </c>
      <c r="B149" s="65" t="s">
        <v>396</v>
      </c>
      <c r="C149" s="66" t="s">
        <v>397</v>
      </c>
      <c r="D149" s="65" t="s">
        <v>72</v>
      </c>
      <c r="E149" s="65" t="s">
        <v>398</v>
      </c>
      <c r="F149" s="100" t="s">
        <v>399</v>
      </c>
      <c r="G149" s="64">
        <v>4300</v>
      </c>
      <c r="H149" s="64">
        <v>2140</v>
      </c>
      <c r="I149" s="64">
        <v>600</v>
      </c>
      <c r="J149" s="64">
        <v>4300</v>
      </c>
      <c r="K149" s="64">
        <v>12</v>
      </c>
      <c r="L149" s="64">
        <v>12</v>
      </c>
      <c r="M149" s="64">
        <v>360</v>
      </c>
      <c r="N149" s="64">
        <v>2740</v>
      </c>
      <c r="O149" s="64">
        <v>947</v>
      </c>
      <c r="P149" s="64">
        <v>100</v>
      </c>
      <c r="Q149" s="64">
        <v>1693</v>
      </c>
      <c r="R149" s="64">
        <v>0</v>
      </c>
      <c r="S149" s="64">
        <f>S148</f>
        <v>0.1946</v>
      </c>
      <c r="T149" s="64">
        <f t="shared" ref="T149:T155" si="203">IF(D149="扶持",0.4,(IF(D149="新建",1,IF(D149="改建",0.45,IF(D149="扩建",0.6,IF(D149="配建",0.4,0))))))</f>
        <v>1</v>
      </c>
      <c r="U149" s="64">
        <f t="shared" ref="U149:U155" si="204">IF(L149&gt;=12,3200,IF(L149&gt;=9,2500,IF(L149&gt;=6,1800,1200)))</f>
        <v>3200</v>
      </c>
      <c r="V149" s="64">
        <f t="shared" ref="V149:V155" si="205">ROUND(MIN(G149,U149),0)</f>
        <v>3200</v>
      </c>
      <c r="W149" s="64">
        <f t="shared" ref="W149:W155" si="206">ROUND(S149*V149*T149,0)</f>
        <v>623</v>
      </c>
      <c r="X149" s="64">
        <f t="shared" ref="X149:X155" si="207">MIN(W149,O149)</f>
        <v>623</v>
      </c>
      <c r="Y149" s="64"/>
      <c r="Z149" s="64">
        <f t="shared" si="202"/>
        <v>623</v>
      </c>
      <c r="AA149" s="64">
        <v>2022.06</v>
      </c>
      <c r="AB149" s="64">
        <v>2023.06</v>
      </c>
      <c r="AC149" s="65"/>
    </row>
    <row r="150" s="42" customFormat="true" spans="1:29">
      <c r="A150" s="64">
        <v>1</v>
      </c>
      <c r="B150" s="71" t="s">
        <v>400</v>
      </c>
      <c r="C150" s="65">
        <v>5</v>
      </c>
      <c r="D150" s="65"/>
      <c r="E150" s="76"/>
      <c r="F150" s="76"/>
      <c r="G150" s="64">
        <f t="shared" ref="G150:J150" si="208">SUM(G151:G155)</f>
        <v>26766.18</v>
      </c>
      <c r="H150" s="64">
        <f t="shared" si="208"/>
        <v>9912</v>
      </c>
      <c r="I150" s="64">
        <f t="shared" si="208"/>
        <v>700</v>
      </c>
      <c r="J150" s="64">
        <f t="shared" si="208"/>
        <v>26766.18</v>
      </c>
      <c r="K150" s="64">
        <v>66</v>
      </c>
      <c r="L150" s="64">
        <f t="shared" ref="L150:R150" si="209">SUM(L151:L155)</f>
        <v>66</v>
      </c>
      <c r="M150" s="64">
        <f t="shared" si="209"/>
        <v>1980</v>
      </c>
      <c r="N150" s="64">
        <f t="shared" si="209"/>
        <v>10612</v>
      </c>
      <c r="O150" s="64">
        <f t="shared" si="209"/>
        <v>2736</v>
      </c>
      <c r="P150" s="82">
        <f t="shared" si="209"/>
        <v>400</v>
      </c>
      <c r="Q150" s="82">
        <f t="shared" si="209"/>
        <v>864</v>
      </c>
      <c r="R150" s="82">
        <f t="shared" si="209"/>
        <v>6612</v>
      </c>
      <c r="S150" s="64">
        <f>VLOOKUP(B150,[1]补助标准!B:L,7,FALSE)</f>
        <v>0.1946</v>
      </c>
      <c r="T150" s="64"/>
      <c r="U150" s="82"/>
      <c r="V150" s="64"/>
      <c r="W150" s="82">
        <f>SUM(W151:W155)</f>
        <v>2741</v>
      </c>
      <c r="X150" s="64">
        <f>SUM(X151:X155)</f>
        <v>2481</v>
      </c>
      <c r="Y150" s="64"/>
      <c r="Z150" s="82">
        <f t="shared" si="202"/>
        <v>2481</v>
      </c>
      <c r="AA150" s="82"/>
      <c r="AB150" s="82"/>
      <c r="AC150" s="64"/>
    </row>
    <row r="151" s="42" customFormat="true" ht="25.5" spans="1:29">
      <c r="A151" s="64">
        <v>1</v>
      </c>
      <c r="B151" s="65" t="s">
        <v>401</v>
      </c>
      <c r="C151" s="66" t="s">
        <v>402</v>
      </c>
      <c r="D151" s="65" t="s">
        <v>72</v>
      </c>
      <c r="E151" s="65" t="s">
        <v>403</v>
      </c>
      <c r="F151" s="65" t="s">
        <v>404</v>
      </c>
      <c r="G151" s="64">
        <v>5550</v>
      </c>
      <c r="H151" s="64">
        <v>2432</v>
      </c>
      <c r="I151" s="64">
        <v>100</v>
      </c>
      <c r="J151" s="64">
        <v>5550</v>
      </c>
      <c r="K151" s="64">
        <v>12</v>
      </c>
      <c r="L151" s="64">
        <v>12</v>
      </c>
      <c r="M151" s="64">
        <v>360</v>
      </c>
      <c r="N151" s="64">
        <v>2532</v>
      </c>
      <c r="O151" s="64">
        <v>750</v>
      </c>
      <c r="P151" s="64">
        <v>100</v>
      </c>
      <c r="Q151" s="64">
        <v>192</v>
      </c>
      <c r="R151" s="64">
        <v>1490</v>
      </c>
      <c r="S151" s="64">
        <f t="shared" ref="S151:S155" si="210">$S$150</f>
        <v>0.1946</v>
      </c>
      <c r="T151" s="64">
        <f t="shared" si="203"/>
        <v>1</v>
      </c>
      <c r="U151" s="64">
        <f t="shared" si="204"/>
        <v>3200</v>
      </c>
      <c r="V151" s="64">
        <f t="shared" si="205"/>
        <v>3200</v>
      </c>
      <c r="W151" s="64">
        <f t="shared" si="206"/>
        <v>623</v>
      </c>
      <c r="X151" s="64">
        <f t="shared" si="207"/>
        <v>623</v>
      </c>
      <c r="Y151" s="64"/>
      <c r="Z151" s="64">
        <f t="shared" si="202"/>
        <v>623</v>
      </c>
      <c r="AA151" s="64">
        <v>2022.08</v>
      </c>
      <c r="AB151" s="64">
        <v>2023.8</v>
      </c>
      <c r="AC151" s="64"/>
    </row>
    <row r="152" s="42" customFormat="true" ht="25.5" spans="1:29">
      <c r="A152" s="64">
        <v>2</v>
      </c>
      <c r="B152" s="65" t="s">
        <v>405</v>
      </c>
      <c r="C152" s="66" t="s">
        <v>406</v>
      </c>
      <c r="D152" s="65" t="s">
        <v>72</v>
      </c>
      <c r="E152" s="65" t="s">
        <v>407</v>
      </c>
      <c r="F152" s="65" t="s">
        <v>408</v>
      </c>
      <c r="G152" s="64">
        <v>4898</v>
      </c>
      <c r="H152" s="64">
        <v>2300</v>
      </c>
      <c r="I152" s="64">
        <v>100</v>
      </c>
      <c r="J152" s="64">
        <v>4898</v>
      </c>
      <c r="K152" s="64">
        <v>12</v>
      </c>
      <c r="L152" s="64">
        <v>12</v>
      </c>
      <c r="M152" s="64">
        <v>360</v>
      </c>
      <c r="N152" s="64">
        <v>2400</v>
      </c>
      <c r="O152" s="64">
        <v>700</v>
      </c>
      <c r="P152" s="64">
        <v>100</v>
      </c>
      <c r="Q152" s="64">
        <f t="shared" ref="Q152:Q154" si="211">16*L152</f>
        <v>192</v>
      </c>
      <c r="R152" s="64">
        <v>1408</v>
      </c>
      <c r="S152" s="64">
        <f t="shared" si="210"/>
        <v>0.1946</v>
      </c>
      <c r="T152" s="64">
        <f t="shared" si="203"/>
        <v>1</v>
      </c>
      <c r="U152" s="64">
        <f t="shared" si="204"/>
        <v>3200</v>
      </c>
      <c r="V152" s="64">
        <f t="shared" si="205"/>
        <v>3200</v>
      </c>
      <c r="W152" s="64">
        <f t="shared" si="206"/>
        <v>623</v>
      </c>
      <c r="X152" s="64">
        <f t="shared" si="207"/>
        <v>623</v>
      </c>
      <c r="Y152" s="64"/>
      <c r="Z152" s="64">
        <f t="shared" si="202"/>
        <v>623</v>
      </c>
      <c r="AA152" s="103">
        <v>2022.1</v>
      </c>
      <c r="AB152" s="64">
        <v>2023.12</v>
      </c>
      <c r="AC152" s="64"/>
    </row>
    <row r="153" s="42" customFormat="true" ht="25.5" spans="1:29">
      <c r="A153" s="64">
        <v>3</v>
      </c>
      <c r="B153" s="65" t="s">
        <v>409</v>
      </c>
      <c r="C153" s="66" t="s">
        <v>410</v>
      </c>
      <c r="D153" s="65" t="s">
        <v>72</v>
      </c>
      <c r="E153" s="65" t="s">
        <v>411</v>
      </c>
      <c r="F153" s="65" t="s">
        <v>412</v>
      </c>
      <c r="G153" s="64">
        <v>4600</v>
      </c>
      <c r="H153" s="64">
        <v>1900</v>
      </c>
      <c r="I153" s="64">
        <v>100</v>
      </c>
      <c r="J153" s="64">
        <v>4600</v>
      </c>
      <c r="K153" s="64">
        <v>15</v>
      </c>
      <c r="L153" s="64">
        <v>15</v>
      </c>
      <c r="M153" s="64">
        <v>450</v>
      </c>
      <c r="N153" s="64">
        <v>2000</v>
      </c>
      <c r="O153" s="64">
        <v>570</v>
      </c>
      <c r="P153" s="64">
        <v>100</v>
      </c>
      <c r="Q153" s="64">
        <f t="shared" si="211"/>
        <v>240</v>
      </c>
      <c r="R153" s="64">
        <v>1090</v>
      </c>
      <c r="S153" s="64">
        <f t="shared" si="210"/>
        <v>0.1946</v>
      </c>
      <c r="T153" s="64">
        <f t="shared" si="203"/>
        <v>1</v>
      </c>
      <c r="U153" s="64">
        <f t="shared" si="204"/>
        <v>3200</v>
      </c>
      <c r="V153" s="64">
        <f t="shared" si="205"/>
        <v>3200</v>
      </c>
      <c r="W153" s="64">
        <f t="shared" si="206"/>
        <v>623</v>
      </c>
      <c r="X153" s="64">
        <f t="shared" si="207"/>
        <v>570</v>
      </c>
      <c r="Y153" s="64"/>
      <c r="Z153" s="64">
        <f t="shared" si="202"/>
        <v>570</v>
      </c>
      <c r="AA153" s="64">
        <v>2022.03</v>
      </c>
      <c r="AB153" s="64">
        <v>2023.8</v>
      </c>
      <c r="AC153" s="64"/>
    </row>
    <row r="154" s="41" customFormat="true" ht="25.5" spans="1:29">
      <c r="A154" s="64">
        <v>4</v>
      </c>
      <c r="B154" s="65" t="s">
        <v>401</v>
      </c>
      <c r="C154" s="66" t="s">
        <v>413</v>
      </c>
      <c r="D154" s="65" t="s">
        <v>72</v>
      </c>
      <c r="E154" s="65" t="s">
        <v>414</v>
      </c>
      <c r="F154" s="65" t="s">
        <v>408</v>
      </c>
      <c r="G154" s="64">
        <v>6470</v>
      </c>
      <c r="H154" s="64">
        <v>2800</v>
      </c>
      <c r="I154" s="64">
        <v>100</v>
      </c>
      <c r="J154" s="64">
        <v>6470</v>
      </c>
      <c r="K154" s="64">
        <v>15</v>
      </c>
      <c r="L154" s="64">
        <v>15</v>
      </c>
      <c r="M154" s="64">
        <v>450</v>
      </c>
      <c r="N154" s="64">
        <v>2900</v>
      </c>
      <c r="O154" s="64">
        <v>416</v>
      </c>
      <c r="P154" s="64">
        <v>100</v>
      </c>
      <c r="Q154" s="64">
        <f t="shared" si="211"/>
        <v>240</v>
      </c>
      <c r="R154" s="64">
        <v>2144</v>
      </c>
      <c r="S154" s="64">
        <f t="shared" si="210"/>
        <v>0.1946</v>
      </c>
      <c r="T154" s="64">
        <f t="shared" si="203"/>
        <v>1</v>
      </c>
      <c r="U154" s="64">
        <f t="shared" si="204"/>
        <v>3200</v>
      </c>
      <c r="V154" s="64">
        <f t="shared" si="205"/>
        <v>3200</v>
      </c>
      <c r="W154" s="64">
        <f t="shared" si="206"/>
        <v>623</v>
      </c>
      <c r="X154" s="64">
        <f t="shared" si="207"/>
        <v>416</v>
      </c>
      <c r="Y154" s="64"/>
      <c r="Z154" s="64">
        <f t="shared" si="202"/>
        <v>416</v>
      </c>
      <c r="AA154" s="83">
        <v>44835</v>
      </c>
      <c r="AB154" s="83">
        <v>45200</v>
      </c>
      <c r="AC154" s="64"/>
    </row>
    <row r="155" s="41" customFormat="true" ht="25.5" spans="1:29">
      <c r="A155" s="64">
        <v>5</v>
      </c>
      <c r="B155" s="65" t="s">
        <v>415</v>
      </c>
      <c r="C155" s="66" t="s">
        <v>416</v>
      </c>
      <c r="D155" s="65" t="s">
        <v>81</v>
      </c>
      <c r="E155" s="65" t="s">
        <v>417</v>
      </c>
      <c r="F155" s="100" t="s">
        <v>418</v>
      </c>
      <c r="G155" s="64">
        <v>5248.18</v>
      </c>
      <c r="H155" s="64">
        <v>480</v>
      </c>
      <c r="I155" s="64">
        <v>300</v>
      </c>
      <c r="J155" s="64">
        <v>5248.18</v>
      </c>
      <c r="K155" s="64">
        <v>12</v>
      </c>
      <c r="L155" s="64">
        <v>12</v>
      </c>
      <c r="M155" s="64">
        <v>360</v>
      </c>
      <c r="N155" s="64">
        <v>780</v>
      </c>
      <c r="O155" s="64">
        <v>300</v>
      </c>
      <c r="P155" s="64">
        <v>0</v>
      </c>
      <c r="Q155" s="64">
        <v>0</v>
      </c>
      <c r="R155" s="64">
        <v>480</v>
      </c>
      <c r="S155" s="64">
        <f t="shared" si="210"/>
        <v>0.1946</v>
      </c>
      <c r="T155" s="64">
        <f t="shared" si="203"/>
        <v>0.4</v>
      </c>
      <c r="U155" s="64">
        <f t="shared" si="204"/>
        <v>3200</v>
      </c>
      <c r="V155" s="64">
        <f t="shared" si="205"/>
        <v>3200</v>
      </c>
      <c r="W155" s="64">
        <f t="shared" si="206"/>
        <v>249</v>
      </c>
      <c r="X155" s="64">
        <f t="shared" si="207"/>
        <v>249</v>
      </c>
      <c r="Y155" s="64"/>
      <c r="Z155" s="64">
        <f t="shared" si="202"/>
        <v>249</v>
      </c>
      <c r="AA155" s="83">
        <v>44774</v>
      </c>
      <c r="AB155" s="83">
        <v>45139</v>
      </c>
      <c r="AC155" s="64"/>
    </row>
    <row r="156" s="42" customFormat="true" ht="25.5" spans="1:29">
      <c r="A156" s="64">
        <v>1</v>
      </c>
      <c r="B156" s="71" t="s">
        <v>419</v>
      </c>
      <c r="C156" s="65">
        <v>4</v>
      </c>
      <c r="D156" s="65"/>
      <c r="E156" s="76"/>
      <c r="F156" s="76"/>
      <c r="G156" s="64">
        <f t="shared" ref="G156:J156" si="212">SUM(G157:G160)</f>
        <v>25911</v>
      </c>
      <c r="H156" s="64">
        <f t="shared" si="212"/>
        <v>5676</v>
      </c>
      <c r="I156" s="64">
        <f t="shared" si="212"/>
        <v>780</v>
      </c>
      <c r="J156" s="64">
        <f t="shared" si="212"/>
        <v>25911</v>
      </c>
      <c r="K156" s="64">
        <v>66</v>
      </c>
      <c r="L156" s="64">
        <f t="shared" ref="L156:R156" si="213">SUM(L157:L160)</f>
        <v>66</v>
      </c>
      <c r="M156" s="64">
        <f t="shared" si="213"/>
        <v>1980</v>
      </c>
      <c r="N156" s="64">
        <f t="shared" si="213"/>
        <v>6456</v>
      </c>
      <c r="O156" s="64">
        <f t="shared" si="213"/>
        <v>1580</v>
      </c>
      <c r="P156" s="82">
        <f t="shared" si="213"/>
        <v>400</v>
      </c>
      <c r="Q156" s="82">
        <f t="shared" si="213"/>
        <v>4476</v>
      </c>
      <c r="R156" s="82">
        <f t="shared" si="213"/>
        <v>0</v>
      </c>
      <c r="S156" s="64">
        <f>VLOOKUP(B156,[1]补助标准!B:L,7,FALSE)</f>
        <v>0.1946</v>
      </c>
      <c r="T156" s="64"/>
      <c r="U156" s="82"/>
      <c r="V156" s="64"/>
      <c r="W156" s="82">
        <f>SUM(W157:W160)</f>
        <v>1370</v>
      </c>
      <c r="X156" s="64">
        <f>SUM(X157:X160)</f>
        <v>1203</v>
      </c>
      <c r="Y156" s="64"/>
      <c r="Z156" s="82">
        <f t="shared" si="202"/>
        <v>1203</v>
      </c>
      <c r="AA156" s="82"/>
      <c r="AB156" s="82"/>
      <c r="AC156" s="64"/>
    </row>
    <row r="157" s="42" customFormat="true" ht="38.25" spans="1:29">
      <c r="A157" s="64">
        <v>1</v>
      </c>
      <c r="B157" s="65" t="s">
        <v>420</v>
      </c>
      <c r="C157" s="66" t="s">
        <v>421</v>
      </c>
      <c r="D157" s="65" t="s">
        <v>72</v>
      </c>
      <c r="E157" s="65" t="s">
        <v>422</v>
      </c>
      <c r="F157" s="65" t="s">
        <v>423</v>
      </c>
      <c r="G157" s="64">
        <v>8660</v>
      </c>
      <c r="H157" s="64">
        <v>4716</v>
      </c>
      <c r="I157" s="64">
        <v>300</v>
      </c>
      <c r="J157" s="64">
        <v>8660</v>
      </c>
      <c r="K157" s="64">
        <v>18</v>
      </c>
      <c r="L157" s="64">
        <v>18</v>
      </c>
      <c r="M157" s="64">
        <v>540</v>
      </c>
      <c r="N157" s="64">
        <v>5016</v>
      </c>
      <c r="O157" s="64">
        <v>1000</v>
      </c>
      <c r="P157" s="64">
        <v>100</v>
      </c>
      <c r="Q157" s="64">
        <v>3916</v>
      </c>
      <c r="R157" s="64">
        <v>0</v>
      </c>
      <c r="S157" s="64">
        <f>S156</f>
        <v>0.1946</v>
      </c>
      <c r="T157" s="64">
        <f t="shared" ref="T157:T160" si="214">IF(D157="扶持",0.4,(IF(D157="新建",1,IF(D157="改建",0.45,IF(D157="扩建",0.6,IF(D157="配建",0.4,0))))))</f>
        <v>1</v>
      </c>
      <c r="U157" s="64">
        <f t="shared" ref="U157:U160" si="215">IF(L157&gt;=12,3200,IF(L157&gt;=9,2500,IF(L157&gt;=6,1800,1200)))</f>
        <v>3200</v>
      </c>
      <c r="V157" s="64">
        <f t="shared" ref="V157:V160" si="216">ROUND(MIN(G157,U157),0)</f>
        <v>3200</v>
      </c>
      <c r="W157" s="64">
        <f t="shared" ref="W157:W160" si="217">ROUND(S157*V157*T157,0)</f>
        <v>623</v>
      </c>
      <c r="X157" s="64">
        <f t="shared" ref="X157:X160" si="218">MIN(W157,O157)</f>
        <v>623</v>
      </c>
      <c r="Y157" s="64"/>
      <c r="Z157" s="64">
        <f t="shared" si="202"/>
        <v>623</v>
      </c>
      <c r="AA157" s="64">
        <v>2022.06</v>
      </c>
      <c r="AB157" s="64">
        <v>2023.08</v>
      </c>
      <c r="AC157" s="64"/>
    </row>
    <row r="158" s="42" customFormat="true" ht="25.5" spans="1:29">
      <c r="A158" s="64">
        <v>1</v>
      </c>
      <c r="B158" s="65" t="s">
        <v>419</v>
      </c>
      <c r="C158" s="66" t="s">
        <v>424</v>
      </c>
      <c r="D158" s="65" t="s">
        <v>81</v>
      </c>
      <c r="E158" s="117" t="s">
        <v>425</v>
      </c>
      <c r="F158" s="65" t="s">
        <v>426</v>
      </c>
      <c r="G158" s="64">
        <v>5002</v>
      </c>
      <c r="H158" s="64">
        <v>300</v>
      </c>
      <c r="I158" s="64">
        <v>150</v>
      </c>
      <c r="J158" s="64">
        <v>5002</v>
      </c>
      <c r="K158" s="64">
        <v>15</v>
      </c>
      <c r="L158" s="64">
        <v>15</v>
      </c>
      <c r="M158" s="64">
        <v>450</v>
      </c>
      <c r="N158" s="64">
        <v>450</v>
      </c>
      <c r="O158" s="64">
        <v>180</v>
      </c>
      <c r="P158" s="64">
        <v>100</v>
      </c>
      <c r="Q158" s="64">
        <v>170</v>
      </c>
      <c r="R158" s="64">
        <v>0</v>
      </c>
      <c r="S158" s="64">
        <f>S156</f>
        <v>0.1946</v>
      </c>
      <c r="T158" s="64">
        <f t="shared" si="214"/>
        <v>0.4</v>
      </c>
      <c r="U158" s="64">
        <f t="shared" si="215"/>
        <v>3200</v>
      </c>
      <c r="V158" s="64">
        <f t="shared" si="216"/>
        <v>3200</v>
      </c>
      <c r="W158" s="64">
        <f t="shared" si="217"/>
        <v>249</v>
      </c>
      <c r="X158" s="64">
        <f t="shared" si="218"/>
        <v>180</v>
      </c>
      <c r="Y158" s="64"/>
      <c r="Z158" s="64">
        <f t="shared" si="202"/>
        <v>180</v>
      </c>
      <c r="AA158" s="64">
        <v>2022.06</v>
      </c>
      <c r="AB158" s="64">
        <v>2022.09</v>
      </c>
      <c r="AC158" s="64"/>
    </row>
    <row r="159" s="42" customFormat="true" ht="25.5" spans="1:29">
      <c r="A159" s="64">
        <v>2</v>
      </c>
      <c r="B159" s="65" t="s">
        <v>419</v>
      </c>
      <c r="C159" s="66" t="s">
        <v>427</v>
      </c>
      <c r="D159" s="65" t="s">
        <v>81</v>
      </c>
      <c r="E159" s="117" t="s">
        <v>428</v>
      </c>
      <c r="F159" s="65" t="s">
        <v>426</v>
      </c>
      <c r="G159" s="64">
        <v>5004</v>
      </c>
      <c r="H159" s="64">
        <v>300</v>
      </c>
      <c r="I159" s="64">
        <v>150</v>
      </c>
      <c r="J159" s="64">
        <v>5004</v>
      </c>
      <c r="K159" s="64">
        <v>15</v>
      </c>
      <c r="L159" s="64">
        <v>15</v>
      </c>
      <c r="M159" s="64">
        <v>450</v>
      </c>
      <c r="N159" s="64">
        <v>450</v>
      </c>
      <c r="O159" s="64">
        <v>180</v>
      </c>
      <c r="P159" s="64">
        <v>100</v>
      </c>
      <c r="Q159" s="64">
        <v>170</v>
      </c>
      <c r="R159" s="64">
        <v>0</v>
      </c>
      <c r="S159" s="64">
        <f>S156</f>
        <v>0.1946</v>
      </c>
      <c r="T159" s="64">
        <f t="shared" si="214"/>
        <v>0.4</v>
      </c>
      <c r="U159" s="64">
        <f t="shared" si="215"/>
        <v>3200</v>
      </c>
      <c r="V159" s="64">
        <f t="shared" si="216"/>
        <v>3200</v>
      </c>
      <c r="W159" s="64">
        <f t="shared" si="217"/>
        <v>249</v>
      </c>
      <c r="X159" s="64">
        <f t="shared" si="218"/>
        <v>180</v>
      </c>
      <c r="Y159" s="64"/>
      <c r="Z159" s="64">
        <f t="shared" si="202"/>
        <v>180</v>
      </c>
      <c r="AA159" s="64">
        <v>2022.04</v>
      </c>
      <c r="AB159" s="64">
        <v>2022.08</v>
      </c>
      <c r="AC159" s="64"/>
    </row>
    <row r="160" s="42" customFormat="true" ht="25.5" spans="1:29">
      <c r="A160" s="64">
        <v>3</v>
      </c>
      <c r="B160" s="65" t="s">
        <v>419</v>
      </c>
      <c r="C160" s="66" t="s">
        <v>429</v>
      </c>
      <c r="D160" s="65" t="s">
        <v>81</v>
      </c>
      <c r="E160" s="117" t="s">
        <v>430</v>
      </c>
      <c r="F160" s="65" t="s">
        <v>426</v>
      </c>
      <c r="G160" s="64">
        <v>7245</v>
      </c>
      <c r="H160" s="64">
        <v>360</v>
      </c>
      <c r="I160" s="64">
        <v>180</v>
      </c>
      <c r="J160" s="64">
        <v>7245</v>
      </c>
      <c r="K160" s="64">
        <v>18</v>
      </c>
      <c r="L160" s="64">
        <v>18</v>
      </c>
      <c r="M160" s="64">
        <v>540</v>
      </c>
      <c r="N160" s="64">
        <v>540</v>
      </c>
      <c r="O160" s="64">
        <v>220</v>
      </c>
      <c r="P160" s="64">
        <v>100</v>
      </c>
      <c r="Q160" s="64">
        <v>220</v>
      </c>
      <c r="R160" s="64">
        <v>0</v>
      </c>
      <c r="S160" s="64">
        <f>S156</f>
        <v>0.1946</v>
      </c>
      <c r="T160" s="64">
        <f t="shared" si="214"/>
        <v>0.4</v>
      </c>
      <c r="U160" s="64">
        <f t="shared" si="215"/>
        <v>3200</v>
      </c>
      <c r="V160" s="64">
        <f t="shared" si="216"/>
        <v>3200</v>
      </c>
      <c r="W160" s="64">
        <f t="shared" si="217"/>
        <v>249</v>
      </c>
      <c r="X160" s="64">
        <f t="shared" si="218"/>
        <v>220</v>
      </c>
      <c r="Y160" s="64"/>
      <c r="Z160" s="64">
        <f t="shared" si="202"/>
        <v>220</v>
      </c>
      <c r="AA160" s="64">
        <v>2022.06</v>
      </c>
      <c r="AB160" s="64">
        <v>2022.09</v>
      </c>
      <c r="AC160" s="64"/>
    </row>
    <row r="161" s="42" customFormat="true" spans="1:29">
      <c r="A161" s="64">
        <v>1</v>
      </c>
      <c r="B161" s="71" t="s">
        <v>431</v>
      </c>
      <c r="C161" s="65">
        <v>1</v>
      </c>
      <c r="D161" s="65"/>
      <c r="E161" s="76"/>
      <c r="F161" s="76"/>
      <c r="G161" s="64">
        <v>3000</v>
      </c>
      <c r="H161" s="64">
        <v>1000</v>
      </c>
      <c r="I161" s="64">
        <v>300</v>
      </c>
      <c r="J161" s="64">
        <v>3000</v>
      </c>
      <c r="K161" s="64">
        <v>12</v>
      </c>
      <c r="L161" s="64">
        <v>12</v>
      </c>
      <c r="M161" s="64">
        <v>420</v>
      </c>
      <c r="N161" s="64">
        <v>1300</v>
      </c>
      <c r="O161" s="64">
        <v>600</v>
      </c>
      <c r="P161" s="82">
        <v>100</v>
      </c>
      <c r="Q161" s="82">
        <v>600</v>
      </c>
      <c r="R161" s="82">
        <v>0</v>
      </c>
      <c r="S161" s="64">
        <f>VLOOKUP(B161,[1]补助标准!B:L,7,FALSE)</f>
        <v>0.1946</v>
      </c>
      <c r="T161" s="64"/>
      <c r="U161" s="82"/>
      <c r="V161" s="64"/>
      <c r="W161" s="82">
        <f t="shared" ref="W161:W166" si="219">W162</f>
        <v>263</v>
      </c>
      <c r="X161" s="64">
        <f t="shared" ref="X161:X166" si="220">X162</f>
        <v>263</v>
      </c>
      <c r="Y161" s="64"/>
      <c r="Z161" s="82">
        <f t="shared" si="202"/>
        <v>263</v>
      </c>
      <c r="AA161" s="82"/>
      <c r="AB161" s="82"/>
      <c r="AC161" s="64"/>
    </row>
    <row r="162" s="42" customFormat="true" spans="1:29">
      <c r="A162" s="64">
        <v>1</v>
      </c>
      <c r="B162" s="65" t="s">
        <v>432</v>
      </c>
      <c r="C162" s="66" t="s">
        <v>433</v>
      </c>
      <c r="D162" s="65" t="s">
        <v>65</v>
      </c>
      <c r="E162" s="65" t="s">
        <v>257</v>
      </c>
      <c r="F162" s="65" t="s">
        <v>434</v>
      </c>
      <c r="G162" s="64">
        <v>3000</v>
      </c>
      <c r="H162" s="64">
        <v>1000</v>
      </c>
      <c r="I162" s="64">
        <v>300</v>
      </c>
      <c r="J162" s="64">
        <v>3000</v>
      </c>
      <c r="K162" s="64">
        <v>12</v>
      </c>
      <c r="L162" s="64">
        <v>12</v>
      </c>
      <c r="M162" s="64">
        <v>420</v>
      </c>
      <c r="N162" s="64">
        <v>1300</v>
      </c>
      <c r="O162" s="64">
        <v>600</v>
      </c>
      <c r="P162" s="64">
        <v>100</v>
      </c>
      <c r="Q162" s="64">
        <v>600</v>
      </c>
      <c r="R162" s="64">
        <v>0</v>
      </c>
      <c r="S162" s="64">
        <f t="shared" ref="S162:S167" si="221">S161</f>
        <v>0.1946</v>
      </c>
      <c r="T162" s="64">
        <f t="shared" ref="T162:T167" si="222">IF(D162="扶持",0.4,(IF(D162="新建",1,IF(D162="改建",0.45,IF(D162="扩建",0.6,IF(D162="配建",0.4,0))))))</f>
        <v>0.45</v>
      </c>
      <c r="U162" s="64">
        <f t="shared" ref="U162:U167" si="223">IF(L162&gt;=12,3200,IF(L162&gt;=9,2500,IF(L162&gt;=6,1800,1200)))</f>
        <v>3200</v>
      </c>
      <c r="V162" s="64">
        <f t="shared" ref="V162:V167" si="224">ROUND(MIN(G162,U162),0)</f>
        <v>3000</v>
      </c>
      <c r="W162" s="64">
        <f t="shared" ref="W162:W167" si="225">ROUND(S162*V162*T162,0)</f>
        <v>263</v>
      </c>
      <c r="X162" s="64">
        <f t="shared" ref="X162:X167" si="226">MIN(W162,O162)</f>
        <v>263</v>
      </c>
      <c r="Y162" s="64"/>
      <c r="Z162" s="64">
        <f t="shared" si="202"/>
        <v>263</v>
      </c>
      <c r="AA162" s="103">
        <v>2022.1</v>
      </c>
      <c r="AB162" s="64">
        <v>2023.6</v>
      </c>
      <c r="AC162" s="64"/>
    </row>
    <row r="163" s="42" customFormat="true" spans="1:29">
      <c r="A163" s="64">
        <v>1</v>
      </c>
      <c r="B163" s="71" t="s">
        <v>435</v>
      </c>
      <c r="C163" s="65">
        <v>1</v>
      </c>
      <c r="D163" s="65"/>
      <c r="E163" s="76"/>
      <c r="F163" s="76"/>
      <c r="G163" s="64">
        <v>1800</v>
      </c>
      <c r="H163" s="64">
        <v>1100</v>
      </c>
      <c r="I163" s="64">
        <v>0</v>
      </c>
      <c r="J163" s="64">
        <v>1800</v>
      </c>
      <c r="K163" s="64">
        <v>6</v>
      </c>
      <c r="L163" s="64">
        <v>6</v>
      </c>
      <c r="M163" s="64">
        <v>180</v>
      </c>
      <c r="N163" s="64">
        <v>1100</v>
      </c>
      <c r="O163" s="64">
        <v>480</v>
      </c>
      <c r="P163" s="82">
        <v>100</v>
      </c>
      <c r="Q163" s="82">
        <v>100</v>
      </c>
      <c r="R163" s="82">
        <v>420</v>
      </c>
      <c r="S163" s="64">
        <f>VLOOKUP(B163,[1]补助标准!B:L,7,FALSE)</f>
        <v>0.1946</v>
      </c>
      <c r="T163" s="64"/>
      <c r="U163" s="82"/>
      <c r="V163" s="64"/>
      <c r="W163" s="82">
        <f t="shared" si="219"/>
        <v>140</v>
      </c>
      <c r="X163" s="64">
        <f t="shared" si="220"/>
        <v>140</v>
      </c>
      <c r="Y163" s="64"/>
      <c r="Z163" s="82">
        <f t="shared" si="202"/>
        <v>140</v>
      </c>
      <c r="AA163" s="124"/>
      <c r="AB163" s="124"/>
      <c r="AC163" s="85"/>
    </row>
    <row r="164" s="42" customFormat="true" ht="25.5" spans="1:29">
      <c r="A164" s="64">
        <v>1</v>
      </c>
      <c r="B164" s="65" t="s">
        <v>436</v>
      </c>
      <c r="C164" s="66" t="s">
        <v>437</v>
      </c>
      <c r="D164" s="65" t="s">
        <v>81</v>
      </c>
      <c r="E164" s="65" t="s">
        <v>438</v>
      </c>
      <c r="F164" s="65" t="s">
        <v>439</v>
      </c>
      <c r="G164" s="64">
        <v>1800</v>
      </c>
      <c r="H164" s="64">
        <v>1100</v>
      </c>
      <c r="I164" s="64">
        <v>0</v>
      </c>
      <c r="J164" s="64">
        <v>1800</v>
      </c>
      <c r="K164" s="64">
        <v>6</v>
      </c>
      <c r="L164" s="64">
        <v>6</v>
      </c>
      <c r="M164" s="64">
        <v>180</v>
      </c>
      <c r="N164" s="64">
        <f>O164+P164+Q164+R164</f>
        <v>1100</v>
      </c>
      <c r="O164" s="64">
        <v>480</v>
      </c>
      <c r="P164" s="64">
        <v>100</v>
      </c>
      <c r="Q164" s="64">
        <v>100</v>
      </c>
      <c r="R164" s="64">
        <v>420</v>
      </c>
      <c r="S164" s="64">
        <f t="shared" si="221"/>
        <v>0.1946</v>
      </c>
      <c r="T164" s="64">
        <f t="shared" si="222"/>
        <v>0.4</v>
      </c>
      <c r="U164" s="64">
        <f t="shared" si="223"/>
        <v>1800</v>
      </c>
      <c r="V164" s="64">
        <f t="shared" si="224"/>
        <v>1800</v>
      </c>
      <c r="W164" s="64">
        <f t="shared" si="225"/>
        <v>140</v>
      </c>
      <c r="X164" s="64">
        <f t="shared" si="226"/>
        <v>140</v>
      </c>
      <c r="Y164" s="64"/>
      <c r="Z164" s="64">
        <f t="shared" si="202"/>
        <v>140</v>
      </c>
      <c r="AA164" s="123">
        <v>2022.07</v>
      </c>
      <c r="AB164" s="123">
        <v>2022.12</v>
      </c>
      <c r="AC164" s="85"/>
    </row>
    <row r="165" s="42" customFormat="true" spans="1:29">
      <c r="A165" s="62"/>
      <c r="B165" s="63" t="s">
        <v>18</v>
      </c>
      <c r="C165" s="63">
        <f>C166+C168+C170+C172+C174+C176+C180+C185+C187</f>
        <v>14</v>
      </c>
      <c r="D165" s="63"/>
      <c r="E165" s="63"/>
      <c r="F165" s="63"/>
      <c r="G165" s="62">
        <f t="shared" ref="G165:J165" si="227">G166+G168+G170+G172+G174+G176+G180+G185+G187</f>
        <v>50567.46</v>
      </c>
      <c r="H165" s="62">
        <f t="shared" si="227"/>
        <v>14313.05</v>
      </c>
      <c r="I165" s="62">
        <f t="shared" si="227"/>
        <v>3500</v>
      </c>
      <c r="J165" s="62">
        <f t="shared" si="227"/>
        <v>50567.46</v>
      </c>
      <c r="K165" s="62">
        <v>159</v>
      </c>
      <c r="L165" s="62">
        <f t="shared" ref="L165:R165" si="228">L166+L168+L170+L172+L174+L176+L180+L185+L187</f>
        <v>159</v>
      </c>
      <c r="M165" s="62">
        <f t="shared" si="228"/>
        <v>4770</v>
      </c>
      <c r="N165" s="62">
        <f t="shared" si="228"/>
        <v>17813.05</v>
      </c>
      <c r="O165" s="62">
        <f t="shared" si="228"/>
        <v>8560.13</v>
      </c>
      <c r="P165" s="62">
        <f t="shared" si="228"/>
        <v>0</v>
      </c>
      <c r="Q165" s="62">
        <f t="shared" si="228"/>
        <v>8852.92</v>
      </c>
      <c r="R165" s="62">
        <f t="shared" si="228"/>
        <v>400</v>
      </c>
      <c r="S165" s="64"/>
      <c r="T165" s="62"/>
      <c r="U165" s="62"/>
      <c r="V165" s="62"/>
      <c r="W165" s="62">
        <f t="shared" ref="W165:Y165" si="229">W166+W168+W170+W172+W174+W176+W180+W185+W187</f>
        <v>4756</v>
      </c>
      <c r="X165" s="62">
        <f t="shared" si="229"/>
        <v>4495</v>
      </c>
      <c r="Y165" s="62">
        <f t="shared" si="229"/>
        <v>800</v>
      </c>
      <c r="Z165" s="62">
        <f t="shared" si="202"/>
        <v>5295</v>
      </c>
      <c r="AA165" s="62"/>
      <c r="AB165" s="62"/>
      <c r="AC165" s="62"/>
    </row>
    <row r="166" s="42" customFormat="true" spans="1:29">
      <c r="A166" s="64">
        <v>1</v>
      </c>
      <c r="B166" s="71" t="s">
        <v>440</v>
      </c>
      <c r="C166" s="65">
        <v>1</v>
      </c>
      <c r="D166" s="65"/>
      <c r="E166" s="65"/>
      <c r="F166" s="65"/>
      <c r="G166" s="64">
        <f t="shared" ref="G166:J166" si="230">SUM(G167)</f>
        <v>6800</v>
      </c>
      <c r="H166" s="64">
        <f t="shared" si="230"/>
        <v>2500</v>
      </c>
      <c r="I166" s="64">
        <f t="shared" si="230"/>
        <v>0</v>
      </c>
      <c r="J166" s="64">
        <f t="shared" si="230"/>
        <v>6800</v>
      </c>
      <c r="K166" s="64">
        <v>15</v>
      </c>
      <c r="L166" s="64">
        <f t="shared" ref="L166:R166" si="231">SUM(L167)</f>
        <v>15</v>
      </c>
      <c r="M166" s="64">
        <f t="shared" si="231"/>
        <v>450</v>
      </c>
      <c r="N166" s="64">
        <f t="shared" si="231"/>
        <v>2500</v>
      </c>
      <c r="O166" s="64">
        <f t="shared" si="231"/>
        <v>1500</v>
      </c>
      <c r="P166" s="64">
        <f t="shared" si="231"/>
        <v>0</v>
      </c>
      <c r="Q166" s="64">
        <f t="shared" si="231"/>
        <v>1000</v>
      </c>
      <c r="R166" s="64">
        <f t="shared" si="231"/>
        <v>0</v>
      </c>
      <c r="S166" s="64">
        <f>VLOOKUP(B166,[1]补助标准!B:L,7,FALSE)</f>
        <v>0.1946</v>
      </c>
      <c r="T166" s="64"/>
      <c r="U166" s="64"/>
      <c r="V166" s="64"/>
      <c r="W166" s="64">
        <f t="shared" si="219"/>
        <v>623</v>
      </c>
      <c r="X166" s="64">
        <f t="shared" si="220"/>
        <v>623</v>
      </c>
      <c r="Y166" s="64">
        <f>Y167</f>
        <v>80</v>
      </c>
      <c r="Z166" s="82">
        <f t="shared" si="202"/>
        <v>703</v>
      </c>
      <c r="AA166" s="125"/>
      <c r="AB166" s="125"/>
      <c r="AC166" s="85"/>
    </row>
    <row r="167" s="42" customFormat="true" ht="25.5" spans="1:29">
      <c r="A167" s="64">
        <v>1</v>
      </c>
      <c r="B167" s="65" t="s">
        <v>441</v>
      </c>
      <c r="C167" s="66" t="s">
        <v>442</v>
      </c>
      <c r="D167" s="72" t="s">
        <v>72</v>
      </c>
      <c r="E167" s="118" t="s">
        <v>443</v>
      </c>
      <c r="F167" s="118" t="s">
        <v>444</v>
      </c>
      <c r="G167" s="64">
        <v>6800</v>
      </c>
      <c r="H167" s="64">
        <v>2500</v>
      </c>
      <c r="I167" s="64">
        <v>0</v>
      </c>
      <c r="J167" s="64">
        <v>6800</v>
      </c>
      <c r="K167" s="64">
        <v>15</v>
      </c>
      <c r="L167" s="64">
        <v>15</v>
      </c>
      <c r="M167" s="64">
        <v>450</v>
      </c>
      <c r="N167" s="64">
        <f>SUM(O167:R167)</f>
        <v>2500</v>
      </c>
      <c r="O167" s="64">
        <v>1500</v>
      </c>
      <c r="P167" s="64">
        <v>0</v>
      </c>
      <c r="Q167" s="64">
        <v>1000</v>
      </c>
      <c r="R167" s="64">
        <v>0</v>
      </c>
      <c r="S167" s="64">
        <f t="shared" si="221"/>
        <v>0.1946</v>
      </c>
      <c r="T167" s="64">
        <f t="shared" si="222"/>
        <v>1</v>
      </c>
      <c r="U167" s="64">
        <f t="shared" si="223"/>
        <v>3200</v>
      </c>
      <c r="V167" s="64">
        <f t="shared" si="224"/>
        <v>3200</v>
      </c>
      <c r="W167" s="64">
        <f t="shared" si="225"/>
        <v>623</v>
      </c>
      <c r="X167" s="64">
        <f t="shared" si="226"/>
        <v>623</v>
      </c>
      <c r="Y167" s="64">
        <v>80</v>
      </c>
      <c r="Z167" s="64">
        <f t="shared" si="202"/>
        <v>703</v>
      </c>
      <c r="AA167" s="126">
        <v>44713</v>
      </c>
      <c r="AB167" s="126">
        <v>45078</v>
      </c>
      <c r="AC167" s="64"/>
    </row>
    <row r="168" s="42" customFormat="true" spans="1:29">
      <c r="A168" s="64">
        <v>1</v>
      </c>
      <c r="B168" s="71" t="s">
        <v>445</v>
      </c>
      <c r="C168" s="65">
        <v>1</v>
      </c>
      <c r="D168" s="65">
        <f>SUM(D169)</f>
        <v>0</v>
      </c>
      <c r="E168" s="65">
        <f t="shared" ref="E168:J168" si="232">SUM(E169)</f>
        <v>0</v>
      </c>
      <c r="F168" s="65">
        <f t="shared" si="232"/>
        <v>0</v>
      </c>
      <c r="G168" s="64">
        <f t="shared" si="232"/>
        <v>2578</v>
      </c>
      <c r="H168" s="64">
        <f t="shared" si="232"/>
        <v>850</v>
      </c>
      <c r="I168" s="64">
        <f t="shared" si="232"/>
        <v>0</v>
      </c>
      <c r="J168" s="64">
        <f t="shared" si="232"/>
        <v>2578</v>
      </c>
      <c r="K168" s="64">
        <v>9</v>
      </c>
      <c r="L168" s="64">
        <f t="shared" ref="L168:R168" si="233">SUM(L169)</f>
        <v>9</v>
      </c>
      <c r="M168" s="64">
        <f t="shared" si="233"/>
        <v>270</v>
      </c>
      <c r="N168" s="64">
        <f t="shared" si="233"/>
        <v>850</v>
      </c>
      <c r="O168" s="64">
        <f t="shared" si="233"/>
        <v>680</v>
      </c>
      <c r="P168" s="64">
        <f t="shared" si="233"/>
        <v>0</v>
      </c>
      <c r="Q168" s="64">
        <f t="shared" si="233"/>
        <v>170</v>
      </c>
      <c r="R168" s="64">
        <f t="shared" si="233"/>
        <v>0</v>
      </c>
      <c r="S168" s="64">
        <f>VLOOKUP(B168,[1]补助标准!B:L,7,FALSE)</f>
        <v>0.1946</v>
      </c>
      <c r="T168" s="64"/>
      <c r="U168" s="64"/>
      <c r="V168" s="64"/>
      <c r="W168" s="64">
        <f t="shared" ref="W168:W172" si="234">W169</f>
        <v>487</v>
      </c>
      <c r="X168" s="64">
        <f t="shared" ref="X168:X172" si="235">X169</f>
        <v>487</v>
      </c>
      <c r="Y168" s="64">
        <f>Y169</f>
        <v>100</v>
      </c>
      <c r="Z168" s="82">
        <f t="shared" si="202"/>
        <v>587</v>
      </c>
      <c r="AA168" s="64"/>
      <c r="AB168" s="64"/>
      <c r="AC168" s="64"/>
    </row>
    <row r="169" s="42" customFormat="true" ht="25.5" spans="1:29">
      <c r="A169" s="64">
        <v>1</v>
      </c>
      <c r="B169" s="65" t="s">
        <v>446</v>
      </c>
      <c r="C169" s="66" t="s">
        <v>447</v>
      </c>
      <c r="D169" s="72" t="s">
        <v>72</v>
      </c>
      <c r="E169" s="65" t="s">
        <v>448</v>
      </c>
      <c r="F169" s="65" t="s">
        <v>449</v>
      </c>
      <c r="G169" s="64">
        <v>2578</v>
      </c>
      <c r="H169" s="64">
        <v>850</v>
      </c>
      <c r="I169" s="64"/>
      <c r="J169" s="64">
        <v>2578</v>
      </c>
      <c r="K169" s="64">
        <v>9</v>
      </c>
      <c r="L169" s="64">
        <v>9</v>
      </c>
      <c r="M169" s="64">
        <v>270</v>
      </c>
      <c r="N169" s="64">
        <f>SUM(O169:Q169)</f>
        <v>850</v>
      </c>
      <c r="O169" s="64">
        <v>680</v>
      </c>
      <c r="P169" s="64"/>
      <c r="Q169" s="64">
        <v>170</v>
      </c>
      <c r="R169" s="64"/>
      <c r="S169" s="64">
        <f t="shared" ref="S169:S173" si="236">S168</f>
        <v>0.1946</v>
      </c>
      <c r="T169" s="64">
        <f t="shared" ref="T169:T173" si="237">IF(D169="扶持",0.4,(IF(D169="新建",1,IF(D169="改建",0.45,IF(D169="扩建",0.6,IF(D169="配建",0.4,0))))))</f>
        <v>1</v>
      </c>
      <c r="U169" s="64">
        <f t="shared" ref="U169:U173" si="238">IF(L169&gt;=12,3200,IF(L169&gt;=9,2500,IF(L169&gt;=6,1800,1200)))</f>
        <v>2500</v>
      </c>
      <c r="V169" s="64">
        <f t="shared" ref="V169:V173" si="239">ROUND(MIN(G169,U169),0)</f>
        <v>2500</v>
      </c>
      <c r="W169" s="64">
        <f t="shared" ref="W169:W173" si="240">ROUND(S169*V169*T169,0)</f>
        <v>487</v>
      </c>
      <c r="X169" s="64">
        <f t="shared" ref="X169:X173" si="241">MIN(W169,O169)</f>
        <v>487</v>
      </c>
      <c r="Y169" s="64">
        <v>100</v>
      </c>
      <c r="Z169" s="64">
        <f t="shared" si="202"/>
        <v>587</v>
      </c>
      <c r="AA169" s="83">
        <v>44774</v>
      </c>
      <c r="AB169" s="83">
        <v>45108</v>
      </c>
      <c r="AC169" s="64"/>
    </row>
    <row r="170" s="42" customFormat="true" spans="1:29">
      <c r="A170" s="64">
        <v>1</v>
      </c>
      <c r="B170" s="71" t="s">
        <v>450</v>
      </c>
      <c r="C170" s="65">
        <v>1</v>
      </c>
      <c r="D170" s="65"/>
      <c r="E170" s="65">
        <f t="shared" ref="E170:J170" si="242">SUM(E171)</f>
        <v>0</v>
      </c>
      <c r="F170" s="65">
        <f t="shared" si="242"/>
        <v>0</v>
      </c>
      <c r="G170" s="64">
        <f t="shared" si="242"/>
        <v>2835</v>
      </c>
      <c r="H170" s="64">
        <f t="shared" si="242"/>
        <v>1560.16</v>
      </c>
      <c r="I170" s="64">
        <f t="shared" si="242"/>
        <v>0</v>
      </c>
      <c r="J170" s="64">
        <f t="shared" si="242"/>
        <v>2835</v>
      </c>
      <c r="K170" s="64">
        <v>9</v>
      </c>
      <c r="L170" s="64">
        <f t="shared" ref="L170:Q170" si="243">SUM(L171)</f>
        <v>9</v>
      </c>
      <c r="M170" s="64">
        <f t="shared" si="243"/>
        <v>270</v>
      </c>
      <c r="N170" s="64">
        <f t="shared" si="243"/>
        <v>1560.16</v>
      </c>
      <c r="O170" s="64">
        <f t="shared" si="243"/>
        <v>1248.13</v>
      </c>
      <c r="P170" s="64">
        <f t="shared" si="243"/>
        <v>0</v>
      </c>
      <c r="Q170" s="64">
        <f t="shared" si="243"/>
        <v>312.03</v>
      </c>
      <c r="R170" s="64"/>
      <c r="S170" s="64">
        <f>VLOOKUP(B170,[1]补助标准!B:L,7,FALSE)</f>
        <v>0.1946</v>
      </c>
      <c r="T170" s="64"/>
      <c r="U170" s="64"/>
      <c r="V170" s="64"/>
      <c r="W170" s="64">
        <f t="shared" si="234"/>
        <v>487</v>
      </c>
      <c r="X170" s="64">
        <f t="shared" si="235"/>
        <v>487</v>
      </c>
      <c r="Y170" s="64">
        <f>Y171</f>
        <v>100</v>
      </c>
      <c r="Z170" s="82">
        <f t="shared" si="202"/>
        <v>587</v>
      </c>
      <c r="AA170" s="64"/>
      <c r="AB170" s="64"/>
      <c r="AC170" s="64"/>
    </row>
    <row r="171" s="42" customFormat="true" ht="25.5" spans="1:29">
      <c r="A171" s="64">
        <v>1</v>
      </c>
      <c r="B171" s="65" t="s">
        <v>451</v>
      </c>
      <c r="C171" s="66" t="s">
        <v>452</v>
      </c>
      <c r="D171" s="72" t="s">
        <v>72</v>
      </c>
      <c r="E171" s="65" t="s">
        <v>453</v>
      </c>
      <c r="F171" s="65" t="s">
        <v>454</v>
      </c>
      <c r="G171" s="64">
        <v>2835</v>
      </c>
      <c r="H171" s="64">
        <v>1560.16</v>
      </c>
      <c r="I171" s="64"/>
      <c r="J171" s="64">
        <v>2835</v>
      </c>
      <c r="K171" s="64">
        <v>9</v>
      </c>
      <c r="L171" s="64">
        <v>9</v>
      </c>
      <c r="M171" s="64">
        <v>270</v>
      </c>
      <c r="N171" s="64">
        <f t="shared" ref="N171:N175" si="244">SUM(O171:R171)</f>
        <v>1560.16</v>
      </c>
      <c r="O171" s="103">
        <v>1248.13</v>
      </c>
      <c r="P171" s="64"/>
      <c r="Q171" s="103">
        <v>312.03</v>
      </c>
      <c r="R171" s="64"/>
      <c r="S171" s="64">
        <f t="shared" si="236"/>
        <v>0.1946</v>
      </c>
      <c r="T171" s="64">
        <f t="shared" si="237"/>
        <v>1</v>
      </c>
      <c r="U171" s="64">
        <f t="shared" si="238"/>
        <v>2500</v>
      </c>
      <c r="V171" s="64">
        <f t="shared" si="239"/>
        <v>2500</v>
      </c>
      <c r="W171" s="64">
        <f t="shared" si="240"/>
        <v>487</v>
      </c>
      <c r="X171" s="64">
        <f t="shared" si="241"/>
        <v>487</v>
      </c>
      <c r="Y171" s="64">
        <v>100</v>
      </c>
      <c r="Z171" s="64">
        <f t="shared" si="202"/>
        <v>587</v>
      </c>
      <c r="AA171" s="83">
        <v>44682</v>
      </c>
      <c r="AB171" s="83">
        <v>45261</v>
      </c>
      <c r="AC171" s="64"/>
    </row>
    <row r="172" s="42" customFormat="true" spans="1:29">
      <c r="A172" s="64">
        <v>1</v>
      </c>
      <c r="B172" s="71" t="s">
        <v>455</v>
      </c>
      <c r="C172" s="65">
        <v>1</v>
      </c>
      <c r="D172" s="65">
        <f>SUM(D173)</f>
        <v>0</v>
      </c>
      <c r="E172" s="65">
        <f t="shared" ref="E172:J172" si="245">SUM(E173)</f>
        <v>0</v>
      </c>
      <c r="F172" s="65">
        <f t="shared" si="245"/>
        <v>0</v>
      </c>
      <c r="G172" s="64">
        <f t="shared" si="245"/>
        <v>3200</v>
      </c>
      <c r="H172" s="64">
        <f t="shared" si="245"/>
        <v>2000</v>
      </c>
      <c r="I172" s="64">
        <f t="shared" si="245"/>
        <v>500</v>
      </c>
      <c r="J172" s="64">
        <f t="shared" si="245"/>
        <v>3200</v>
      </c>
      <c r="K172" s="64">
        <v>15</v>
      </c>
      <c r="L172" s="64">
        <f t="shared" ref="L172:Q172" si="246">SUM(L173)</f>
        <v>15</v>
      </c>
      <c r="M172" s="64">
        <f t="shared" si="246"/>
        <v>450</v>
      </c>
      <c r="N172" s="64">
        <f t="shared" si="246"/>
        <v>2500</v>
      </c>
      <c r="O172" s="64">
        <f t="shared" si="246"/>
        <v>362</v>
      </c>
      <c r="P172" s="64">
        <f t="shared" si="246"/>
        <v>0</v>
      </c>
      <c r="Q172" s="64">
        <f t="shared" si="246"/>
        <v>2138</v>
      </c>
      <c r="R172" s="64"/>
      <c r="S172" s="64">
        <f>VLOOKUP(B172,[1]补助标准!B:L,7,FALSE)</f>
        <v>0.1946</v>
      </c>
      <c r="T172" s="64"/>
      <c r="U172" s="64"/>
      <c r="V172" s="64"/>
      <c r="W172" s="64">
        <f t="shared" si="234"/>
        <v>623</v>
      </c>
      <c r="X172" s="64">
        <f t="shared" si="235"/>
        <v>362</v>
      </c>
      <c r="Y172" s="64">
        <f>Y173</f>
        <v>80</v>
      </c>
      <c r="Z172" s="82">
        <f t="shared" si="202"/>
        <v>442</v>
      </c>
      <c r="AA172" s="64"/>
      <c r="AB172" s="64"/>
      <c r="AC172" s="64"/>
    </row>
    <row r="173" s="42" customFormat="true" ht="51" spans="1:29">
      <c r="A173" s="64">
        <v>1</v>
      </c>
      <c r="B173" s="65" t="s">
        <v>456</v>
      </c>
      <c r="C173" s="66" t="s">
        <v>457</v>
      </c>
      <c r="D173" s="72" t="s">
        <v>72</v>
      </c>
      <c r="E173" s="65" t="s">
        <v>458</v>
      </c>
      <c r="F173" s="65" t="s">
        <v>459</v>
      </c>
      <c r="G173" s="64">
        <v>3200</v>
      </c>
      <c r="H173" s="64">
        <v>2000</v>
      </c>
      <c r="I173" s="64">
        <v>500</v>
      </c>
      <c r="J173" s="64">
        <v>3200</v>
      </c>
      <c r="K173" s="64">
        <v>15</v>
      </c>
      <c r="L173" s="64">
        <v>15</v>
      </c>
      <c r="M173" s="64">
        <v>450</v>
      </c>
      <c r="N173" s="64">
        <f t="shared" si="244"/>
        <v>2500</v>
      </c>
      <c r="O173" s="64">
        <v>362</v>
      </c>
      <c r="P173" s="64"/>
      <c r="Q173" s="64">
        <v>2138</v>
      </c>
      <c r="R173" s="64"/>
      <c r="S173" s="64">
        <f t="shared" si="236"/>
        <v>0.1946</v>
      </c>
      <c r="T173" s="64">
        <f t="shared" si="237"/>
        <v>1</v>
      </c>
      <c r="U173" s="64">
        <f t="shared" si="238"/>
        <v>3200</v>
      </c>
      <c r="V173" s="64">
        <f t="shared" si="239"/>
        <v>3200</v>
      </c>
      <c r="W173" s="64">
        <f t="shared" si="240"/>
        <v>623</v>
      </c>
      <c r="X173" s="64">
        <f t="shared" si="241"/>
        <v>362</v>
      </c>
      <c r="Y173" s="64">
        <v>80</v>
      </c>
      <c r="Z173" s="64">
        <f t="shared" si="202"/>
        <v>442</v>
      </c>
      <c r="AA173" s="83">
        <v>44743</v>
      </c>
      <c r="AB173" s="83">
        <v>45170</v>
      </c>
      <c r="AC173" s="64"/>
    </row>
    <row r="174" s="42" customFormat="true" ht="25.5" spans="1:29">
      <c r="A174" s="64">
        <v>1</v>
      </c>
      <c r="B174" s="71" t="s">
        <v>460</v>
      </c>
      <c r="C174" s="65">
        <v>1</v>
      </c>
      <c r="D174" s="65">
        <f>SUM(D175)</f>
        <v>0</v>
      </c>
      <c r="E174" s="65">
        <f t="shared" ref="E174:J174" si="247">SUM(E175)</f>
        <v>0</v>
      </c>
      <c r="F174" s="65">
        <f t="shared" si="247"/>
        <v>0</v>
      </c>
      <c r="G174" s="64">
        <f t="shared" si="247"/>
        <v>2682.46</v>
      </c>
      <c r="H174" s="64">
        <f t="shared" si="247"/>
        <v>825.89</v>
      </c>
      <c r="I174" s="64">
        <f t="shared" si="247"/>
        <v>0</v>
      </c>
      <c r="J174" s="64">
        <f t="shared" si="247"/>
        <v>2682.46</v>
      </c>
      <c r="K174" s="64">
        <v>9</v>
      </c>
      <c r="L174" s="64">
        <f t="shared" ref="L174:Q174" si="248">SUM(L175)</f>
        <v>9</v>
      </c>
      <c r="M174" s="64">
        <f t="shared" si="248"/>
        <v>270</v>
      </c>
      <c r="N174" s="64">
        <f t="shared" si="248"/>
        <v>825.89</v>
      </c>
      <c r="O174" s="64">
        <f t="shared" si="248"/>
        <v>500</v>
      </c>
      <c r="P174" s="64">
        <f t="shared" si="248"/>
        <v>0</v>
      </c>
      <c r="Q174" s="64">
        <f t="shared" si="248"/>
        <v>325.89</v>
      </c>
      <c r="R174" s="64">
        <f>R175</f>
        <v>0</v>
      </c>
      <c r="S174" s="64">
        <f>VLOOKUP(B174,[1]补助标准!B:L,7,FALSE)</f>
        <v>0.1946</v>
      </c>
      <c r="T174" s="64"/>
      <c r="U174" s="64"/>
      <c r="V174" s="64"/>
      <c r="W174" s="64">
        <f>W175</f>
        <v>487</v>
      </c>
      <c r="X174" s="64">
        <f>X175</f>
        <v>487</v>
      </c>
      <c r="Y174" s="64">
        <f>Y175</f>
        <v>80</v>
      </c>
      <c r="Z174" s="82">
        <f t="shared" si="202"/>
        <v>567</v>
      </c>
      <c r="AA174" s="64"/>
      <c r="AB174" s="64"/>
      <c r="AC174" s="64"/>
    </row>
    <row r="175" s="42" customFormat="true" ht="25.5" spans="1:29">
      <c r="A175" s="64">
        <v>1</v>
      </c>
      <c r="B175" s="65" t="s">
        <v>460</v>
      </c>
      <c r="C175" s="66" t="s">
        <v>461</v>
      </c>
      <c r="D175" s="72" t="s">
        <v>72</v>
      </c>
      <c r="E175" s="118" t="s">
        <v>462</v>
      </c>
      <c r="F175" s="65" t="s">
        <v>463</v>
      </c>
      <c r="G175" s="64">
        <v>2682.46</v>
      </c>
      <c r="H175" s="64">
        <v>825.89</v>
      </c>
      <c r="I175" s="64"/>
      <c r="J175" s="64">
        <v>2682.46</v>
      </c>
      <c r="K175" s="64">
        <v>9</v>
      </c>
      <c r="L175" s="64">
        <v>9</v>
      </c>
      <c r="M175" s="64">
        <v>270</v>
      </c>
      <c r="N175" s="64">
        <f t="shared" si="244"/>
        <v>825.89</v>
      </c>
      <c r="O175" s="64">
        <v>500</v>
      </c>
      <c r="P175" s="64"/>
      <c r="Q175" s="64">
        <v>325.89</v>
      </c>
      <c r="R175" s="64"/>
      <c r="S175" s="64">
        <f>S174</f>
        <v>0.1946</v>
      </c>
      <c r="T175" s="64">
        <f t="shared" ref="T175:T179" si="249">IF(D175="扶持",0.4,(IF(D175="新建",1,IF(D175="改建",0.45,IF(D175="扩建",0.6,IF(D175="配建",0.4,0))))))</f>
        <v>1</v>
      </c>
      <c r="U175" s="64">
        <f t="shared" ref="U175:U179" si="250">IF(L175&gt;=12,3200,IF(L175&gt;=9,2500,IF(L175&gt;=6,1800,1200)))</f>
        <v>2500</v>
      </c>
      <c r="V175" s="64">
        <f t="shared" ref="V175:V179" si="251">ROUND(MIN(G175,U175),0)</f>
        <v>2500</v>
      </c>
      <c r="W175" s="64">
        <f t="shared" ref="W175:W179" si="252">ROUND(S175*V175*T175,0)</f>
        <v>487</v>
      </c>
      <c r="X175" s="64">
        <f t="shared" ref="X175:X179" si="253">MIN(W175,O175)</f>
        <v>487</v>
      </c>
      <c r="Y175" s="64">
        <v>80</v>
      </c>
      <c r="Z175" s="64">
        <f t="shared" si="202"/>
        <v>567</v>
      </c>
      <c r="AA175" s="126">
        <v>44440</v>
      </c>
      <c r="AB175" s="126">
        <v>44896</v>
      </c>
      <c r="AC175" s="64"/>
    </row>
    <row r="176" s="42" customFormat="true" spans="1:29">
      <c r="A176" s="64">
        <v>1</v>
      </c>
      <c r="B176" s="71" t="s">
        <v>464</v>
      </c>
      <c r="C176" s="65">
        <v>3</v>
      </c>
      <c r="D176" s="65"/>
      <c r="E176" s="76"/>
      <c r="F176" s="76"/>
      <c r="G176" s="64">
        <f t="shared" ref="G176:J176" si="254">SUM(G177:G179)</f>
        <v>8887</v>
      </c>
      <c r="H176" s="64">
        <f t="shared" si="254"/>
        <v>3277</v>
      </c>
      <c r="I176" s="64">
        <f t="shared" si="254"/>
        <v>1100</v>
      </c>
      <c r="J176" s="64">
        <f t="shared" si="254"/>
        <v>8887</v>
      </c>
      <c r="K176" s="64">
        <v>33</v>
      </c>
      <c r="L176" s="64">
        <f t="shared" ref="L176:R176" si="255">SUM(L177:L179)</f>
        <v>33</v>
      </c>
      <c r="M176" s="64">
        <f t="shared" si="255"/>
        <v>990</v>
      </c>
      <c r="N176" s="64">
        <f t="shared" si="255"/>
        <v>4377</v>
      </c>
      <c r="O176" s="64">
        <f t="shared" si="255"/>
        <v>1750</v>
      </c>
      <c r="P176" s="82">
        <f t="shared" si="255"/>
        <v>0</v>
      </c>
      <c r="Q176" s="82">
        <f t="shared" si="255"/>
        <v>2627</v>
      </c>
      <c r="R176" s="82">
        <f t="shared" si="255"/>
        <v>0</v>
      </c>
      <c r="S176" s="64">
        <f>VLOOKUP(B176,[1]补助标准!B:L,7,FALSE)</f>
        <v>0.1946</v>
      </c>
      <c r="T176" s="64"/>
      <c r="U176" s="82"/>
      <c r="V176" s="64"/>
      <c r="W176" s="82">
        <f>SUM(W177:W179)</f>
        <v>663</v>
      </c>
      <c r="X176" s="64">
        <f>SUM(X177:X179)</f>
        <v>663</v>
      </c>
      <c r="Y176" s="64">
        <f>SUM(Y177:Y179)</f>
        <v>120</v>
      </c>
      <c r="Z176" s="82">
        <f t="shared" si="202"/>
        <v>783</v>
      </c>
      <c r="AA176" s="82"/>
      <c r="AB176" s="82"/>
      <c r="AC176" s="64"/>
    </row>
    <row r="177" s="42" customFormat="true" ht="25.5" spans="1:29">
      <c r="A177" s="64">
        <v>1</v>
      </c>
      <c r="B177" s="65" t="s">
        <v>465</v>
      </c>
      <c r="C177" s="66" t="s">
        <v>466</v>
      </c>
      <c r="D177" s="65" t="s">
        <v>81</v>
      </c>
      <c r="E177" s="65" t="s">
        <v>467</v>
      </c>
      <c r="F177" s="65" t="s">
        <v>468</v>
      </c>
      <c r="G177" s="64">
        <v>3255</v>
      </c>
      <c r="H177" s="64">
        <v>651</v>
      </c>
      <c r="I177" s="64">
        <v>400</v>
      </c>
      <c r="J177" s="64">
        <v>3255</v>
      </c>
      <c r="K177" s="64">
        <v>12</v>
      </c>
      <c r="L177" s="64">
        <v>12</v>
      </c>
      <c r="M177" s="64">
        <v>360</v>
      </c>
      <c r="N177" s="64">
        <f t="shared" ref="N177:N179" si="256">SUM(O177:R177)</f>
        <v>1051</v>
      </c>
      <c r="O177" s="64">
        <v>420</v>
      </c>
      <c r="P177" s="64"/>
      <c r="Q177" s="64">
        <v>631</v>
      </c>
      <c r="R177" s="64"/>
      <c r="S177" s="64">
        <f>S176</f>
        <v>0.1946</v>
      </c>
      <c r="T177" s="64">
        <f t="shared" si="249"/>
        <v>0.4</v>
      </c>
      <c r="U177" s="64">
        <f t="shared" si="250"/>
        <v>3200</v>
      </c>
      <c r="V177" s="64">
        <f t="shared" si="251"/>
        <v>3200</v>
      </c>
      <c r="W177" s="64">
        <f t="shared" si="252"/>
        <v>249</v>
      </c>
      <c r="X177" s="64">
        <f t="shared" si="253"/>
        <v>249</v>
      </c>
      <c r="Y177" s="64">
        <v>40</v>
      </c>
      <c r="Z177" s="64">
        <f t="shared" si="202"/>
        <v>289</v>
      </c>
      <c r="AA177" s="83">
        <v>44621</v>
      </c>
      <c r="AB177" s="83">
        <v>44774</v>
      </c>
      <c r="AC177" s="64"/>
    </row>
    <row r="178" s="42" customFormat="true" ht="25.5" spans="1:29">
      <c r="A178" s="64">
        <v>2</v>
      </c>
      <c r="B178" s="65" t="s">
        <v>469</v>
      </c>
      <c r="C178" s="66" t="s">
        <v>470</v>
      </c>
      <c r="D178" s="65" t="s">
        <v>81</v>
      </c>
      <c r="E178" s="65" t="s">
        <v>471</v>
      </c>
      <c r="F178" s="65" t="s">
        <v>472</v>
      </c>
      <c r="G178" s="64">
        <v>2816</v>
      </c>
      <c r="H178" s="64">
        <v>1126</v>
      </c>
      <c r="I178" s="64">
        <v>400</v>
      </c>
      <c r="J178" s="64">
        <v>2816</v>
      </c>
      <c r="K178" s="64">
        <v>12</v>
      </c>
      <c r="L178" s="64">
        <v>12</v>
      </c>
      <c r="M178" s="64">
        <v>360</v>
      </c>
      <c r="N178" s="64">
        <f t="shared" si="256"/>
        <v>1526</v>
      </c>
      <c r="O178" s="64">
        <v>610</v>
      </c>
      <c r="P178" s="64"/>
      <c r="Q178" s="64">
        <v>916</v>
      </c>
      <c r="R178" s="64"/>
      <c r="S178" s="64">
        <f>S176</f>
        <v>0.1946</v>
      </c>
      <c r="T178" s="64">
        <f t="shared" si="249"/>
        <v>0.4</v>
      </c>
      <c r="U178" s="64">
        <f t="shared" si="250"/>
        <v>3200</v>
      </c>
      <c r="V178" s="64">
        <f t="shared" si="251"/>
        <v>2816</v>
      </c>
      <c r="W178" s="64">
        <f t="shared" si="252"/>
        <v>219</v>
      </c>
      <c r="X178" s="64">
        <f t="shared" si="253"/>
        <v>219</v>
      </c>
      <c r="Y178" s="64">
        <v>40</v>
      </c>
      <c r="Z178" s="64">
        <f t="shared" si="202"/>
        <v>259</v>
      </c>
      <c r="AA178" s="83">
        <v>44713</v>
      </c>
      <c r="AB178" s="83">
        <v>44774</v>
      </c>
      <c r="AC178" s="64"/>
    </row>
    <row r="179" s="42" customFormat="true" ht="25.5" spans="1:29">
      <c r="A179" s="64">
        <v>3</v>
      </c>
      <c r="B179" s="65" t="s">
        <v>473</v>
      </c>
      <c r="C179" s="66" t="s">
        <v>474</v>
      </c>
      <c r="D179" s="65" t="s">
        <v>81</v>
      </c>
      <c r="E179" s="65" t="s">
        <v>475</v>
      </c>
      <c r="F179" s="65" t="s">
        <v>472</v>
      </c>
      <c r="G179" s="64">
        <v>2816</v>
      </c>
      <c r="H179" s="64">
        <v>1500</v>
      </c>
      <c r="I179" s="64">
        <v>300</v>
      </c>
      <c r="J179" s="64">
        <v>2816</v>
      </c>
      <c r="K179" s="64">
        <v>9</v>
      </c>
      <c r="L179" s="64">
        <v>9</v>
      </c>
      <c r="M179" s="64">
        <v>270</v>
      </c>
      <c r="N179" s="64">
        <f t="shared" si="256"/>
        <v>1800</v>
      </c>
      <c r="O179" s="64">
        <v>720</v>
      </c>
      <c r="P179" s="64"/>
      <c r="Q179" s="64">
        <v>1080</v>
      </c>
      <c r="R179" s="64"/>
      <c r="S179" s="64">
        <f>S176</f>
        <v>0.1946</v>
      </c>
      <c r="T179" s="64">
        <f t="shared" si="249"/>
        <v>0.4</v>
      </c>
      <c r="U179" s="64">
        <f t="shared" si="250"/>
        <v>2500</v>
      </c>
      <c r="V179" s="64">
        <f t="shared" si="251"/>
        <v>2500</v>
      </c>
      <c r="W179" s="64">
        <f t="shared" si="252"/>
        <v>195</v>
      </c>
      <c r="X179" s="64">
        <f t="shared" si="253"/>
        <v>195</v>
      </c>
      <c r="Y179" s="64">
        <v>40</v>
      </c>
      <c r="Z179" s="64">
        <f t="shared" si="202"/>
        <v>235</v>
      </c>
      <c r="AA179" s="83">
        <v>44743</v>
      </c>
      <c r="AB179" s="83">
        <v>44896</v>
      </c>
      <c r="AC179" s="64"/>
    </row>
    <row r="180" s="42" customFormat="true" spans="1:29">
      <c r="A180" s="64">
        <v>1</v>
      </c>
      <c r="B180" s="71" t="s">
        <v>476</v>
      </c>
      <c r="C180" s="65">
        <v>4</v>
      </c>
      <c r="D180" s="65"/>
      <c r="E180" s="76"/>
      <c r="F180" s="76"/>
      <c r="G180" s="64">
        <f t="shared" ref="G180:J180" si="257">SUM(G181:G184)</f>
        <v>14498</v>
      </c>
      <c r="H180" s="64">
        <f t="shared" si="257"/>
        <v>1900</v>
      </c>
      <c r="I180" s="64">
        <f t="shared" si="257"/>
        <v>900</v>
      </c>
      <c r="J180" s="64">
        <f t="shared" si="257"/>
        <v>14498</v>
      </c>
      <c r="K180" s="64">
        <v>45</v>
      </c>
      <c r="L180" s="64">
        <f t="shared" ref="L180:R180" si="258">SUM(L181:L184)</f>
        <v>45</v>
      </c>
      <c r="M180" s="64">
        <f t="shared" si="258"/>
        <v>1350</v>
      </c>
      <c r="N180" s="64">
        <f t="shared" si="258"/>
        <v>2800</v>
      </c>
      <c r="O180" s="64">
        <f t="shared" si="258"/>
        <v>1120</v>
      </c>
      <c r="P180" s="82">
        <f t="shared" si="258"/>
        <v>0</v>
      </c>
      <c r="Q180" s="82">
        <f t="shared" si="258"/>
        <v>1680</v>
      </c>
      <c r="R180" s="82">
        <f t="shared" si="258"/>
        <v>0</v>
      </c>
      <c r="S180" s="64">
        <f>VLOOKUP(B180,[1]补助标准!B:L,7,FALSE)</f>
        <v>0.1946</v>
      </c>
      <c r="T180" s="64"/>
      <c r="U180" s="82"/>
      <c r="V180" s="64"/>
      <c r="W180" s="82">
        <f>SUM(W181:W184)</f>
        <v>888</v>
      </c>
      <c r="X180" s="64">
        <f>SUM(X181:X184)</f>
        <v>888</v>
      </c>
      <c r="Y180" s="64">
        <f>SUM(Y181:Y184)</f>
        <v>160</v>
      </c>
      <c r="Z180" s="82">
        <f t="shared" si="202"/>
        <v>1048</v>
      </c>
      <c r="AA180" s="124"/>
      <c r="AB180" s="124"/>
      <c r="AC180" s="85"/>
    </row>
    <row r="181" s="42" customFormat="true" ht="63.75" spans="1:29">
      <c r="A181" s="64">
        <v>1</v>
      </c>
      <c r="B181" s="65" t="s">
        <v>477</v>
      </c>
      <c r="C181" s="66" t="s">
        <v>478</v>
      </c>
      <c r="D181" s="65" t="s">
        <v>81</v>
      </c>
      <c r="E181" s="65" t="s">
        <v>479</v>
      </c>
      <c r="F181" s="65" t="s">
        <v>480</v>
      </c>
      <c r="G181" s="119">
        <v>4600</v>
      </c>
      <c r="H181" s="119">
        <v>600</v>
      </c>
      <c r="I181" s="119">
        <v>300</v>
      </c>
      <c r="J181" s="119">
        <v>4600</v>
      </c>
      <c r="K181" s="64">
        <v>15</v>
      </c>
      <c r="L181" s="64">
        <v>15</v>
      </c>
      <c r="M181" s="121">
        <v>450</v>
      </c>
      <c r="N181" s="64">
        <f t="shared" ref="N181:N184" si="259">SUM(O181:R181)</f>
        <v>900</v>
      </c>
      <c r="O181" s="64">
        <v>360</v>
      </c>
      <c r="P181" s="64"/>
      <c r="Q181" s="64">
        <v>540</v>
      </c>
      <c r="R181" s="64"/>
      <c r="S181" s="64">
        <f>S180</f>
        <v>0.1946</v>
      </c>
      <c r="T181" s="64">
        <f t="shared" ref="T181:T184" si="260">IF(D181="扶持",0.4,(IF(D181="新建",1,IF(D181="改建",0.45,IF(D181="扩建",0.6,IF(D181="配建",0.4,0))))))</f>
        <v>0.4</v>
      </c>
      <c r="U181" s="64">
        <f t="shared" ref="U181:U184" si="261">IF(L181&gt;=12,3200,IF(L181&gt;=9,2500,IF(L181&gt;=6,1800,1200)))</f>
        <v>3200</v>
      </c>
      <c r="V181" s="64">
        <f t="shared" ref="V181:V184" si="262">ROUND(MIN(G181,U181),0)</f>
        <v>3200</v>
      </c>
      <c r="W181" s="64">
        <f t="shared" ref="W181:W184" si="263">ROUND(S181*V181*T181,0)</f>
        <v>249</v>
      </c>
      <c r="X181" s="64">
        <f t="shared" ref="X181:X184" si="264">MIN(W181,O181)</f>
        <v>249</v>
      </c>
      <c r="Y181" s="64">
        <v>40</v>
      </c>
      <c r="Z181" s="64">
        <f t="shared" si="202"/>
        <v>289</v>
      </c>
      <c r="AA181" s="84" t="s">
        <v>481</v>
      </c>
      <c r="AB181" s="84" t="s">
        <v>482</v>
      </c>
      <c r="AC181" s="64"/>
    </row>
    <row r="182" s="42" customFormat="true" ht="76.5" spans="1:29">
      <c r="A182" s="64">
        <v>2</v>
      </c>
      <c r="B182" s="65" t="s">
        <v>483</v>
      </c>
      <c r="C182" s="66" t="s">
        <v>484</v>
      </c>
      <c r="D182" s="65" t="s">
        <v>81</v>
      </c>
      <c r="E182" s="65" t="s">
        <v>485</v>
      </c>
      <c r="F182" s="65" t="s">
        <v>486</v>
      </c>
      <c r="G182" s="119">
        <v>4204</v>
      </c>
      <c r="H182" s="119">
        <v>500</v>
      </c>
      <c r="I182" s="119">
        <v>240</v>
      </c>
      <c r="J182" s="119">
        <v>4204</v>
      </c>
      <c r="K182" s="64">
        <v>12</v>
      </c>
      <c r="L182" s="64">
        <v>12</v>
      </c>
      <c r="M182" s="121">
        <v>360</v>
      </c>
      <c r="N182" s="64">
        <f t="shared" si="259"/>
        <v>740</v>
      </c>
      <c r="O182" s="64">
        <v>296</v>
      </c>
      <c r="P182" s="64"/>
      <c r="Q182" s="64">
        <v>444</v>
      </c>
      <c r="R182" s="64"/>
      <c r="S182" s="64">
        <f>S180</f>
        <v>0.1946</v>
      </c>
      <c r="T182" s="64">
        <f t="shared" si="260"/>
        <v>0.4</v>
      </c>
      <c r="U182" s="64">
        <f t="shared" si="261"/>
        <v>3200</v>
      </c>
      <c r="V182" s="64">
        <f t="shared" si="262"/>
        <v>3200</v>
      </c>
      <c r="W182" s="64">
        <f t="shared" si="263"/>
        <v>249</v>
      </c>
      <c r="X182" s="64">
        <f t="shared" si="264"/>
        <v>249</v>
      </c>
      <c r="Y182" s="64">
        <v>40</v>
      </c>
      <c r="Z182" s="64">
        <f t="shared" si="202"/>
        <v>289</v>
      </c>
      <c r="AA182" s="84" t="s">
        <v>481</v>
      </c>
      <c r="AB182" s="84" t="s">
        <v>482</v>
      </c>
      <c r="AC182" s="64"/>
    </row>
    <row r="183" s="42" customFormat="true" ht="63.75" spans="1:29">
      <c r="A183" s="64">
        <v>3</v>
      </c>
      <c r="B183" s="65" t="s">
        <v>487</v>
      </c>
      <c r="C183" s="66" t="s">
        <v>488</v>
      </c>
      <c r="D183" s="65" t="s">
        <v>81</v>
      </c>
      <c r="E183" s="65" t="s">
        <v>489</v>
      </c>
      <c r="F183" s="65" t="s">
        <v>490</v>
      </c>
      <c r="G183" s="119">
        <v>2548</v>
      </c>
      <c r="H183" s="119">
        <v>400</v>
      </c>
      <c r="I183" s="119">
        <v>180</v>
      </c>
      <c r="J183" s="119">
        <v>2548</v>
      </c>
      <c r="K183" s="64">
        <v>9</v>
      </c>
      <c r="L183" s="64">
        <v>9</v>
      </c>
      <c r="M183" s="121">
        <v>270</v>
      </c>
      <c r="N183" s="64">
        <f t="shared" si="259"/>
        <v>580</v>
      </c>
      <c r="O183" s="64">
        <v>232</v>
      </c>
      <c r="P183" s="64"/>
      <c r="Q183" s="64">
        <v>348</v>
      </c>
      <c r="R183" s="64"/>
      <c r="S183" s="64">
        <f>S180</f>
        <v>0.1946</v>
      </c>
      <c r="T183" s="64">
        <f t="shared" si="260"/>
        <v>0.4</v>
      </c>
      <c r="U183" s="64">
        <f t="shared" si="261"/>
        <v>2500</v>
      </c>
      <c r="V183" s="64">
        <f t="shared" si="262"/>
        <v>2500</v>
      </c>
      <c r="W183" s="64">
        <f t="shared" si="263"/>
        <v>195</v>
      </c>
      <c r="X183" s="64">
        <f t="shared" si="264"/>
        <v>195</v>
      </c>
      <c r="Y183" s="64">
        <v>40</v>
      </c>
      <c r="Z183" s="64">
        <f t="shared" si="202"/>
        <v>235</v>
      </c>
      <c r="AA183" s="84" t="s">
        <v>482</v>
      </c>
      <c r="AB183" s="84" t="s">
        <v>491</v>
      </c>
      <c r="AC183" s="64"/>
    </row>
    <row r="184" s="42" customFormat="true" ht="63.75" spans="1:29">
      <c r="A184" s="110">
        <v>4</v>
      </c>
      <c r="B184" s="65" t="s">
        <v>487</v>
      </c>
      <c r="C184" s="66" t="s">
        <v>492</v>
      </c>
      <c r="D184" s="65" t="s">
        <v>81</v>
      </c>
      <c r="E184" s="65" t="s">
        <v>493</v>
      </c>
      <c r="F184" s="65" t="s">
        <v>494</v>
      </c>
      <c r="G184" s="110">
        <v>3146</v>
      </c>
      <c r="H184" s="110">
        <v>400</v>
      </c>
      <c r="I184" s="110">
        <v>180</v>
      </c>
      <c r="J184" s="110">
        <v>3146</v>
      </c>
      <c r="K184" s="64">
        <v>9</v>
      </c>
      <c r="L184" s="64">
        <v>9</v>
      </c>
      <c r="M184" s="64">
        <v>270</v>
      </c>
      <c r="N184" s="64">
        <f t="shared" si="259"/>
        <v>580</v>
      </c>
      <c r="O184" s="64">
        <v>232</v>
      </c>
      <c r="P184" s="64"/>
      <c r="Q184" s="64">
        <v>348</v>
      </c>
      <c r="R184" s="64"/>
      <c r="S184" s="64">
        <f>S180</f>
        <v>0.1946</v>
      </c>
      <c r="T184" s="64">
        <f t="shared" si="260"/>
        <v>0.4</v>
      </c>
      <c r="U184" s="64">
        <f t="shared" si="261"/>
        <v>2500</v>
      </c>
      <c r="V184" s="64">
        <f t="shared" si="262"/>
        <v>2500</v>
      </c>
      <c r="W184" s="64">
        <f t="shared" si="263"/>
        <v>195</v>
      </c>
      <c r="X184" s="64">
        <f t="shared" si="264"/>
        <v>195</v>
      </c>
      <c r="Y184" s="64">
        <v>40</v>
      </c>
      <c r="Z184" s="64">
        <f t="shared" si="202"/>
        <v>235</v>
      </c>
      <c r="AA184" s="84" t="s">
        <v>495</v>
      </c>
      <c r="AB184" s="84" t="s">
        <v>496</v>
      </c>
      <c r="AC184" s="64"/>
    </row>
    <row r="185" s="42" customFormat="true" spans="1:29">
      <c r="A185" s="64">
        <v>1</v>
      </c>
      <c r="B185" s="71" t="s">
        <v>497</v>
      </c>
      <c r="C185" s="65">
        <v>1</v>
      </c>
      <c r="D185" s="65"/>
      <c r="E185" s="76"/>
      <c r="F185" s="76"/>
      <c r="G185" s="64">
        <f t="shared" ref="G185:J185" si="265">SUM(G186)</f>
        <v>4900</v>
      </c>
      <c r="H185" s="64">
        <f t="shared" si="265"/>
        <v>800</v>
      </c>
      <c r="I185" s="64">
        <f t="shared" si="265"/>
        <v>400</v>
      </c>
      <c r="J185" s="64">
        <f t="shared" si="265"/>
        <v>4900</v>
      </c>
      <c r="K185" s="64">
        <v>12</v>
      </c>
      <c r="L185" s="64">
        <f t="shared" ref="L185:R185" si="266">SUM(L186)</f>
        <v>12</v>
      </c>
      <c r="M185" s="64">
        <f t="shared" si="266"/>
        <v>360</v>
      </c>
      <c r="N185" s="64">
        <f t="shared" si="266"/>
        <v>1200</v>
      </c>
      <c r="O185" s="64">
        <f t="shared" si="266"/>
        <v>800</v>
      </c>
      <c r="P185" s="82">
        <f t="shared" si="266"/>
        <v>0</v>
      </c>
      <c r="Q185" s="82">
        <f t="shared" si="266"/>
        <v>0</v>
      </c>
      <c r="R185" s="82">
        <f t="shared" si="266"/>
        <v>400</v>
      </c>
      <c r="S185" s="64">
        <f>VLOOKUP(B185,[1]补助标准!B:L,7,FALSE)</f>
        <v>0.1946</v>
      </c>
      <c r="T185" s="64"/>
      <c r="U185" s="82"/>
      <c r="V185" s="64"/>
      <c r="W185" s="82">
        <f t="shared" ref="W185:W190" si="267">W186</f>
        <v>249</v>
      </c>
      <c r="X185" s="64">
        <f t="shared" ref="X185:X190" si="268">X186</f>
        <v>249</v>
      </c>
      <c r="Y185" s="64">
        <f>Y186</f>
        <v>40</v>
      </c>
      <c r="Z185" s="82">
        <f t="shared" si="202"/>
        <v>289</v>
      </c>
      <c r="AA185" s="82"/>
      <c r="AB185" s="82"/>
      <c r="AC185" s="64"/>
    </row>
    <row r="186" s="42" customFormat="true" ht="25.5" spans="1:29">
      <c r="A186" s="64">
        <v>1</v>
      </c>
      <c r="B186" s="65" t="s">
        <v>498</v>
      </c>
      <c r="C186" s="66" t="s">
        <v>499</v>
      </c>
      <c r="D186" s="65" t="s">
        <v>81</v>
      </c>
      <c r="E186" s="65" t="s">
        <v>500</v>
      </c>
      <c r="F186" s="65" t="s">
        <v>501</v>
      </c>
      <c r="G186" s="64">
        <v>4900</v>
      </c>
      <c r="H186" s="64">
        <v>800</v>
      </c>
      <c r="I186" s="64">
        <v>400</v>
      </c>
      <c r="J186" s="64">
        <v>4900</v>
      </c>
      <c r="K186" s="64">
        <v>12</v>
      </c>
      <c r="L186" s="64">
        <v>12</v>
      </c>
      <c r="M186" s="64">
        <v>360</v>
      </c>
      <c r="N186" s="64">
        <f>SUM(O186:R186)</f>
        <v>1200</v>
      </c>
      <c r="O186" s="64">
        <v>800</v>
      </c>
      <c r="P186" s="64"/>
      <c r="Q186" s="64"/>
      <c r="R186" s="64">
        <v>400</v>
      </c>
      <c r="S186" s="64">
        <f t="shared" ref="S186:S191" si="269">S185</f>
        <v>0.1946</v>
      </c>
      <c r="T186" s="64">
        <f t="shared" ref="T186:T191" si="270">IF(D186="扶持",0.4,(IF(D186="新建",1,IF(D186="改建",0.45,IF(D186="扩建",0.6,IF(D186="配建",0.4,0))))))</f>
        <v>0.4</v>
      </c>
      <c r="U186" s="64">
        <f t="shared" ref="U186:U191" si="271">IF(L186&gt;=12,3200,IF(L186&gt;=9,2500,IF(L186&gt;=6,1800,1200)))</f>
        <v>3200</v>
      </c>
      <c r="V186" s="64">
        <f t="shared" ref="V186:V191" si="272">ROUND(MIN(G186,U186),0)</f>
        <v>3200</v>
      </c>
      <c r="W186" s="64">
        <f t="shared" ref="W186:W191" si="273">ROUND(S186*V186*T186,0)</f>
        <v>249</v>
      </c>
      <c r="X186" s="64">
        <f t="shared" ref="X186:X191" si="274">MIN(W186,O186)</f>
        <v>249</v>
      </c>
      <c r="Y186" s="64">
        <v>40</v>
      </c>
      <c r="Z186" s="64">
        <f t="shared" si="202"/>
        <v>289</v>
      </c>
      <c r="AA186" s="126" t="s">
        <v>502</v>
      </c>
      <c r="AB186" s="126" t="s">
        <v>503</v>
      </c>
      <c r="AC186" s="64"/>
    </row>
    <row r="187" s="42" customFormat="true" spans="1:29">
      <c r="A187" s="64">
        <v>1</v>
      </c>
      <c r="B187" s="71" t="s">
        <v>504</v>
      </c>
      <c r="C187" s="65">
        <v>1</v>
      </c>
      <c r="D187" s="65"/>
      <c r="E187" s="76"/>
      <c r="F187" s="76"/>
      <c r="G187" s="64">
        <f t="shared" ref="G187:J187" si="275">SUM(G188)</f>
        <v>4187</v>
      </c>
      <c r="H187" s="64">
        <f t="shared" si="275"/>
        <v>600</v>
      </c>
      <c r="I187" s="64">
        <f t="shared" si="275"/>
        <v>600</v>
      </c>
      <c r="J187" s="64">
        <f t="shared" si="275"/>
        <v>4187</v>
      </c>
      <c r="K187" s="64">
        <v>12</v>
      </c>
      <c r="L187" s="64">
        <f t="shared" ref="L187:R187" si="276">SUM(L188)</f>
        <v>12</v>
      </c>
      <c r="M187" s="64">
        <f t="shared" si="276"/>
        <v>360</v>
      </c>
      <c r="N187" s="64">
        <f t="shared" si="276"/>
        <v>1200</v>
      </c>
      <c r="O187" s="64">
        <f t="shared" si="276"/>
        <v>600</v>
      </c>
      <c r="P187" s="82">
        <f t="shared" si="276"/>
        <v>0</v>
      </c>
      <c r="Q187" s="82">
        <f t="shared" si="276"/>
        <v>600</v>
      </c>
      <c r="R187" s="82">
        <f t="shared" si="276"/>
        <v>0</v>
      </c>
      <c r="S187" s="64">
        <f>VLOOKUP(B187,[1]补助标准!B:L,7,FALSE)</f>
        <v>0.1946</v>
      </c>
      <c r="T187" s="64"/>
      <c r="U187" s="82"/>
      <c r="V187" s="64"/>
      <c r="W187" s="82">
        <f t="shared" si="267"/>
        <v>249</v>
      </c>
      <c r="X187" s="64">
        <f t="shared" si="268"/>
        <v>249</v>
      </c>
      <c r="Y187" s="64">
        <f>Y188</f>
        <v>40</v>
      </c>
      <c r="Z187" s="82">
        <f t="shared" si="202"/>
        <v>289</v>
      </c>
      <c r="AA187" s="125"/>
      <c r="AB187" s="125"/>
      <c r="AC187" s="64"/>
    </row>
    <row r="188" s="42" customFormat="true" ht="25.5" spans="1:29">
      <c r="A188" s="64">
        <v>1</v>
      </c>
      <c r="B188" s="65" t="s">
        <v>504</v>
      </c>
      <c r="C188" s="66" t="s">
        <v>505</v>
      </c>
      <c r="D188" s="65" t="s">
        <v>81</v>
      </c>
      <c r="E188" s="65" t="s">
        <v>506</v>
      </c>
      <c r="F188" s="65" t="s">
        <v>507</v>
      </c>
      <c r="G188" s="64">
        <v>4187</v>
      </c>
      <c r="H188" s="64">
        <v>600</v>
      </c>
      <c r="I188" s="64">
        <v>600</v>
      </c>
      <c r="J188" s="64">
        <v>4187</v>
      </c>
      <c r="K188" s="64">
        <v>12</v>
      </c>
      <c r="L188" s="64">
        <v>12</v>
      </c>
      <c r="M188" s="64">
        <v>360</v>
      </c>
      <c r="N188" s="64">
        <f>SUM(O188:R188)</f>
        <v>1200</v>
      </c>
      <c r="O188" s="64">
        <v>600</v>
      </c>
      <c r="P188" s="64">
        <v>0</v>
      </c>
      <c r="Q188" s="64">
        <v>600</v>
      </c>
      <c r="R188" s="64">
        <v>0</v>
      </c>
      <c r="S188" s="64">
        <f t="shared" si="269"/>
        <v>0.1946</v>
      </c>
      <c r="T188" s="64">
        <f t="shared" si="270"/>
        <v>0.4</v>
      </c>
      <c r="U188" s="64">
        <f t="shared" si="271"/>
        <v>3200</v>
      </c>
      <c r="V188" s="64">
        <f t="shared" si="272"/>
        <v>3200</v>
      </c>
      <c r="W188" s="64">
        <f t="shared" si="273"/>
        <v>249</v>
      </c>
      <c r="X188" s="64">
        <f t="shared" si="274"/>
        <v>249</v>
      </c>
      <c r="Y188" s="64">
        <v>40</v>
      </c>
      <c r="Z188" s="64">
        <f t="shared" si="202"/>
        <v>289</v>
      </c>
      <c r="AA188" s="127">
        <v>44256</v>
      </c>
      <c r="AB188" s="127">
        <v>44713</v>
      </c>
      <c r="AC188" s="85" t="s">
        <v>508</v>
      </c>
    </row>
    <row r="189" s="42" customFormat="true" spans="1:29">
      <c r="A189" s="62"/>
      <c r="B189" s="63" t="s">
        <v>19</v>
      </c>
      <c r="C189" s="63">
        <f>C190+C192+C197+C204+C207+C210+C212+C214+C216</f>
        <v>19</v>
      </c>
      <c r="D189" s="63"/>
      <c r="E189" s="63"/>
      <c r="F189" s="63"/>
      <c r="G189" s="62">
        <f t="shared" ref="G189:J189" si="277">G190+G192+G197+G204+G207+G210+G212+G214+G216</f>
        <v>64388</v>
      </c>
      <c r="H189" s="62">
        <f t="shared" si="277"/>
        <v>21933</v>
      </c>
      <c r="I189" s="62">
        <f t="shared" si="277"/>
        <v>5525</v>
      </c>
      <c r="J189" s="62">
        <f t="shared" si="277"/>
        <v>72501</v>
      </c>
      <c r="K189" s="62">
        <v>195</v>
      </c>
      <c r="L189" s="62">
        <f t="shared" ref="L189:R189" si="278">L190+L192+L197+L204+L207+L210+L212+L214+L216</f>
        <v>195</v>
      </c>
      <c r="M189" s="62">
        <f t="shared" si="278"/>
        <v>4950</v>
      </c>
      <c r="N189" s="62">
        <f t="shared" si="278"/>
        <v>27458</v>
      </c>
      <c r="O189" s="62">
        <f t="shared" si="278"/>
        <v>15553.4</v>
      </c>
      <c r="P189" s="62">
        <f t="shared" si="278"/>
        <v>0</v>
      </c>
      <c r="Q189" s="62">
        <f t="shared" si="278"/>
        <v>11804.6</v>
      </c>
      <c r="R189" s="62">
        <f t="shared" si="278"/>
        <v>100</v>
      </c>
      <c r="S189" s="64"/>
      <c r="T189" s="62"/>
      <c r="U189" s="62"/>
      <c r="V189" s="62"/>
      <c r="W189" s="62">
        <f t="shared" ref="W189:Y189" si="279">W190+W192+W197+W204+W207+W210+W212+W214+W216</f>
        <v>6474</v>
      </c>
      <c r="X189" s="62">
        <f t="shared" si="279"/>
        <v>6126</v>
      </c>
      <c r="Y189" s="62">
        <f t="shared" si="279"/>
        <v>1500</v>
      </c>
      <c r="Z189" s="62">
        <f t="shared" si="202"/>
        <v>7626</v>
      </c>
      <c r="AA189" s="62"/>
      <c r="AB189" s="62"/>
      <c r="AC189" s="62"/>
    </row>
    <row r="190" s="42" customFormat="true" spans="1:29">
      <c r="A190" s="64">
        <v>1</v>
      </c>
      <c r="B190" s="71" t="s">
        <v>509</v>
      </c>
      <c r="C190" s="65">
        <v>1</v>
      </c>
      <c r="D190" s="65"/>
      <c r="E190" s="76"/>
      <c r="F190" s="76"/>
      <c r="G190" s="64">
        <v>5000</v>
      </c>
      <c r="H190" s="64">
        <v>3000</v>
      </c>
      <c r="I190" s="64"/>
      <c r="J190" s="64">
        <v>5000</v>
      </c>
      <c r="K190" s="64">
        <v>12</v>
      </c>
      <c r="L190" s="64">
        <v>12</v>
      </c>
      <c r="M190" s="64">
        <v>360</v>
      </c>
      <c r="N190" s="64">
        <f>O190+P190+Q190+R190</f>
        <v>3000</v>
      </c>
      <c r="O190" s="64">
        <v>2400</v>
      </c>
      <c r="P190" s="82"/>
      <c r="Q190" s="82">
        <v>600</v>
      </c>
      <c r="R190" s="82"/>
      <c r="S190" s="64">
        <f>VLOOKUP(B190,[1]补助标准!B:L,7,FALSE)</f>
        <v>0.1946</v>
      </c>
      <c r="T190" s="64"/>
      <c r="U190" s="82"/>
      <c r="V190" s="64"/>
      <c r="W190" s="82">
        <f t="shared" si="267"/>
        <v>623</v>
      </c>
      <c r="X190" s="64">
        <f t="shared" si="268"/>
        <v>623</v>
      </c>
      <c r="Y190" s="64">
        <v>300</v>
      </c>
      <c r="Z190" s="82">
        <f t="shared" si="202"/>
        <v>923</v>
      </c>
      <c r="AA190" s="82"/>
      <c r="AB190" s="82"/>
      <c r="AC190" s="64"/>
    </row>
    <row r="191" s="42" customFormat="true" ht="63.75" spans="1:29">
      <c r="A191" s="64">
        <v>1</v>
      </c>
      <c r="B191" s="65" t="s">
        <v>510</v>
      </c>
      <c r="C191" s="66" t="s">
        <v>511</v>
      </c>
      <c r="D191" s="65" t="s">
        <v>72</v>
      </c>
      <c r="E191" s="65" t="s">
        <v>512</v>
      </c>
      <c r="F191" s="65" t="s">
        <v>513</v>
      </c>
      <c r="G191" s="64">
        <v>5000</v>
      </c>
      <c r="H191" s="64">
        <v>3000</v>
      </c>
      <c r="I191" s="64"/>
      <c r="J191" s="64">
        <v>5000</v>
      </c>
      <c r="K191" s="64">
        <v>12</v>
      </c>
      <c r="L191" s="64">
        <v>12</v>
      </c>
      <c r="M191" s="64">
        <v>360</v>
      </c>
      <c r="N191" s="64">
        <f>O191+P191+Q191+R191</f>
        <v>3000</v>
      </c>
      <c r="O191" s="64">
        <v>2400</v>
      </c>
      <c r="P191" s="64"/>
      <c r="Q191" s="64">
        <v>600</v>
      </c>
      <c r="R191" s="64"/>
      <c r="S191" s="64">
        <f t="shared" si="269"/>
        <v>0.1946</v>
      </c>
      <c r="T191" s="64">
        <f t="shared" si="270"/>
        <v>1</v>
      </c>
      <c r="U191" s="64">
        <f t="shared" si="271"/>
        <v>3200</v>
      </c>
      <c r="V191" s="64">
        <f t="shared" si="272"/>
        <v>3200</v>
      </c>
      <c r="W191" s="64">
        <f t="shared" si="273"/>
        <v>623</v>
      </c>
      <c r="X191" s="64">
        <f t="shared" si="274"/>
        <v>623</v>
      </c>
      <c r="Y191" s="64">
        <v>300</v>
      </c>
      <c r="Z191" s="64">
        <f t="shared" si="202"/>
        <v>923</v>
      </c>
      <c r="AA191" s="64">
        <v>2022.12</v>
      </c>
      <c r="AB191" s="64">
        <v>2023.12</v>
      </c>
      <c r="AC191" s="64"/>
    </row>
    <row r="192" s="42" customFormat="true" spans="1:29">
      <c r="A192" s="64">
        <v>1</v>
      </c>
      <c r="B192" s="71" t="s">
        <v>514</v>
      </c>
      <c r="C192" s="65">
        <v>4</v>
      </c>
      <c r="D192" s="65"/>
      <c r="E192" s="76"/>
      <c r="F192" s="76"/>
      <c r="G192" s="64">
        <f t="shared" ref="G192:J192" si="280">SUM(G193:G196)</f>
        <v>13838</v>
      </c>
      <c r="H192" s="64">
        <f t="shared" si="280"/>
        <v>4323</v>
      </c>
      <c r="I192" s="64">
        <f t="shared" si="280"/>
        <v>1350</v>
      </c>
      <c r="J192" s="64">
        <f t="shared" si="280"/>
        <v>13838</v>
      </c>
      <c r="K192" s="64">
        <v>42</v>
      </c>
      <c r="L192" s="64">
        <f t="shared" ref="L192:Q192" si="281">SUM(L193:L196)</f>
        <v>42</v>
      </c>
      <c r="M192" s="64">
        <f t="shared" si="281"/>
        <v>1260</v>
      </c>
      <c r="N192" s="64">
        <f t="shared" si="281"/>
        <v>5673</v>
      </c>
      <c r="O192" s="64">
        <f t="shared" si="281"/>
        <v>3858.4</v>
      </c>
      <c r="P192" s="82">
        <f t="shared" si="281"/>
        <v>0</v>
      </c>
      <c r="Q192" s="82">
        <f t="shared" si="281"/>
        <v>1814.6</v>
      </c>
      <c r="R192" s="82"/>
      <c r="S192" s="64">
        <f>VLOOKUP(B192,[1]补助标准!B:L,7,FALSE)</f>
        <v>0.1946</v>
      </c>
      <c r="T192" s="64"/>
      <c r="U192" s="82"/>
      <c r="V192" s="64"/>
      <c r="W192" s="82">
        <f>SUM(W193:W196)</f>
        <v>1729</v>
      </c>
      <c r="X192" s="64">
        <f>SUM(X193:X196)</f>
        <v>1729</v>
      </c>
      <c r="Y192" s="64">
        <v>100</v>
      </c>
      <c r="Z192" s="82">
        <f t="shared" si="202"/>
        <v>1829</v>
      </c>
      <c r="AA192" s="82"/>
      <c r="AB192" s="82"/>
      <c r="AC192" s="64"/>
    </row>
    <row r="193" s="42" customFormat="true" ht="63.75" spans="1:29">
      <c r="A193" s="64">
        <v>1</v>
      </c>
      <c r="B193" s="65" t="s">
        <v>515</v>
      </c>
      <c r="C193" s="66" t="s">
        <v>516</v>
      </c>
      <c r="D193" s="65" t="s">
        <v>72</v>
      </c>
      <c r="E193" s="65" t="s">
        <v>517</v>
      </c>
      <c r="F193" s="65" t="s">
        <v>518</v>
      </c>
      <c r="G193" s="64">
        <v>4938</v>
      </c>
      <c r="H193" s="64">
        <v>1963</v>
      </c>
      <c r="I193" s="64">
        <v>500</v>
      </c>
      <c r="J193" s="64">
        <v>4938</v>
      </c>
      <c r="K193" s="64">
        <v>12</v>
      </c>
      <c r="L193" s="64">
        <v>12</v>
      </c>
      <c r="M193" s="64">
        <v>360</v>
      </c>
      <c r="N193" s="64">
        <v>2463</v>
      </c>
      <c r="O193" s="64">
        <v>1570.4</v>
      </c>
      <c r="P193" s="64">
        <v>0</v>
      </c>
      <c r="Q193" s="64">
        <v>892.6</v>
      </c>
      <c r="R193" s="64">
        <v>0</v>
      </c>
      <c r="S193" s="64">
        <f>S192</f>
        <v>0.1946</v>
      </c>
      <c r="T193" s="64">
        <f t="shared" ref="T193:T196" si="282">IF(D193="扶持",0.4,(IF(D193="新建",1,IF(D193="改建",0.45,IF(D193="扩建",0.6,IF(D193="配建",0.4,0))))))</f>
        <v>1</v>
      </c>
      <c r="U193" s="64">
        <f t="shared" ref="U193:U196" si="283">IF(L193&gt;=12,3200,IF(L193&gt;=9,2500,IF(L193&gt;=6,1800,1200)))</f>
        <v>3200</v>
      </c>
      <c r="V193" s="64">
        <f t="shared" ref="V193:V196" si="284">ROUND(MIN(G193,U193),0)</f>
        <v>3200</v>
      </c>
      <c r="W193" s="64">
        <f t="shared" ref="W193:W196" si="285">ROUND(S193*V193*T193,0)</f>
        <v>623</v>
      </c>
      <c r="X193" s="64">
        <f t="shared" ref="X193:X196" si="286">MIN(W193,O193)</f>
        <v>623</v>
      </c>
      <c r="Y193" s="64">
        <v>100</v>
      </c>
      <c r="Z193" s="64">
        <f t="shared" si="202"/>
        <v>723</v>
      </c>
      <c r="AA193" s="103">
        <v>2022.1</v>
      </c>
      <c r="AB193" s="64">
        <v>2024.6</v>
      </c>
      <c r="AC193" s="64"/>
    </row>
    <row r="194" s="42" customFormat="true" ht="51" spans="1:29">
      <c r="A194" s="64">
        <v>2</v>
      </c>
      <c r="B194" s="65" t="s">
        <v>519</v>
      </c>
      <c r="C194" s="66" t="s">
        <v>520</v>
      </c>
      <c r="D194" s="65" t="s">
        <v>72</v>
      </c>
      <c r="E194" s="65" t="s">
        <v>521</v>
      </c>
      <c r="F194" s="65" t="s">
        <v>522</v>
      </c>
      <c r="G194" s="64">
        <v>3500</v>
      </c>
      <c r="H194" s="64">
        <v>1400</v>
      </c>
      <c r="I194" s="64">
        <v>300</v>
      </c>
      <c r="J194" s="64">
        <v>3500</v>
      </c>
      <c r="K194" s="64">
        <v>12</v>
      </c>
      <c r="L194" s="64">
        <v>12</v>
      </c>
      <c r="M194" s="64">
        <v>360</v>
      </c>
      <c r="N194" s="64">
        <v>1700</v>
      </c>
      <c r="O194" s="64">
        <v>1120</v>
      </c>
      <c r="P194" s="64">
        <v>0</v>
      </c>
      <c r="Q194" s="64">
        <v>580</v>
      </c>
      <c r="R194" s="64">
        <v>0</v>
      </c>
      <c r="S194" s="64">
        <f>S192</f>
        <v>0.1946</v>
      </c>
      <c r="T194" s="64">
        <f t="shared" si="282"/>
        <v>1</v>
      </c>
      <c r="U194" s="64">
        <f t="shared" si="283"/>
        <v>3200</v>
      </c>
      <c r="V194" s="64">
        <f t="shared" si="284"/>
        <v>3200</v>
      </c>
      <c r="W194" s="64">
        <f t="shared" si="285"/>
        <v>623</v>
      </c>
      <c r="X194" s="64">
        <f t="shared" si="286"/>
        <v>623</v>
      </c>
      <c r="Y194" s="64"/>
      <c r="Z194" s="64">
        <f t="shared" si="202"/>
        <v>623</v>
      </c>
      <c r="AA194" s="103">
        <v>2022.1</v>
      </c>
      <c r="AB194" s="64">
        <v>2024.6</v>
      </c>
      <c r="AC194" s="64"/>
    </row>
    <row r="195" s="42" customFormat="true" ht="51" spans="1:29">
      <c r="A195" s="64">
        <v>3</v>
      </c>
      <c r="B195" s="65" t="s">
        <v>523</v>
      </c>
      <c r="C195" s="66" t="s">
        <v>524</v>
      </c>
      <c r="D195" s="65" t="s">
        <v>72</v>
      </c>
      <c r="E195" s="65" t="s">
        <v>521</v>
      </c>
      <c r="F195" s="65" t="s">
        <v>525</v>
      </c>
      <c r="G195" s="64">
        <v>1200</v>
      </c>
      <c r="H195" s="64">
        <v>360</v>
      </c>
      <c r="I195" s="64">
        <v>50</v>
      </c>
      <c r="J195" s="64">
        <v>1200</v>
      </c>
      <c r="K195" s="64">
        <v>6</v>
      </c>
      <c r="L195" s="64">
        <v>6</v>
      </c>
      <c r="M195" s="64">
        <v>180</v>
      </c>
      <c r="N195" s="64">
        <v>410</v>
      </c>
      <c r="O195" s="64">
        <v>288</v>
      </c>
      <c r="P195" s="64">
        <v>0</v>
      </c>
      <c r="Q195" s="64">
        <v>122</v>
      </c>
      <c r="R195" s="64">
        <v>0</v>
      </c>
      <c r="S195" s="64">
        <f>S192</f>
        <v>0.1946</v>
      </c>
      <c r="T195" s="64">
        <f t="shared" si="282"/>
        <v>1</v>
      </c>
      <c r="U195" s="64">
        <f t="shared" si="283"/>
        <v>1800</v>
      </c>
      <c r="V195" s="64">
        <f t="shared" si="284"/>
        <v>1200</v>
      </c>
      <c r="W195" s="64">
        <f t="shared" si="285"/>
        <v>234</v>
      </c>
      <c r="X195" s="64">
        <f t="shared" si="286"/>
        <v>234</v>
      </c>
      <c r="Y195" s="64"/>
      <c r="Z195" s="64">
        <f t="shared" si="202"/>
        <v>234</v>
      </c>
      <c r="AA195" s="103">
        <v>2022.1</v>
      </c>
      <c r="AB195" s="64">
        <v>2024.6</v>
      </c>
      <c r="AC195" s="64"/>
    </row>
    <row r="196" s="42" customFormat="true" ht="38.25" spans="1:29">
      <c r="A196" s="64">
        <v>4</v>
      </c>
      <c r="B196" s="65" t="s">
        <v>526</v>
      </c>
      <c r="C196" s="66" t="s">
        <v>527</v>
      </c>
      <c r="D196" s="65" t="s">
        <v>81</v>
      </c>
      <c r="E196" s="65" t="s">
        <v>528</v>
      </c>
      <c r="F196" s="65" t="s">
        <v>111</v>
      </c>
      <c r="G196" s="64">
        <v>4200</v>
      </c>
      <c r="H196" s="64">
        <v>600</v>
      </c>
      <c r="I196" s="64">
        <v>500</v>
      </c>
      <c r="J196" s="64">
        <v>4200</v>
      </c>
      <c r="K196" s="64">
        <v>12</v>
      </c>
      <c r="L196" s="64">
        <v>12</v>
      </c>
      <c r="M196" s="64">
        <v>360</v>
      </c>
      <c r="N196" s="64">
        <v>1100</v>
      </c>
      <c r="O196" s="64">
        <v>880</v>
      </c>
      <c r="P196" s="64">
        <v>0</v>
      </c>
      <c r="Q196" s="64">
        <v>220</v>
      </c>
      <c r="R196" s="64">
        <v>0</v>
      </c>
      <c r="S196" s="64">
        <f>S192</f>
        <v>0.1946</v>
      </c>
      <c r="T196" s="64">
        <f t="shared" si="282"/>
        <v>0.4</v>
      </c>
      <c r="U196" s="64">
        <f t="shared" si="283"/>
        <v>3200</v>
      </c>
      <c r="V196" s="64">
        <f t="shared" si="284"/>
        <v>3200</v>
      </c>
      <c r="W196" s="64">
        <f t="shared" si="285"/>
        <v>249</v>
      </c>
      <c r="X196" s="64">
        <f t="shared" si="286"/>
        <v>249</v>
      </c>
      <c r="Y196" s="64"/>
      <c r="Z196" s="64">
        <f t="shared" si="202"/>
        <v>249</v>
      </c>
      <c r="AA196" s="103">
        <v>2022.05</v>
      </c>
      <c r="AB196" s="64">
        <v>2023.02</v>
      </c>
      <c r="AC196" s="64"/>
    </row>
    <row r="197" s="42" customFormat="true" spans="1:29">
      <c r="A197" s="64">
        <v>1</v>
      </c>
      <c r="B197" s="71" t="s">
        <v>529</v>
      </c>
      <c r="C197" s="65">
        <v>6</v>
      </c>
      <c r="D197" s="65"/>
      <c r="E197" s="76"/>
      <c r="F197" s="76"/>
      <c r="G197" s="64">
        <f t="shared" ref="G197:J197" si="287">SUM(G198:G203)</f>
        <v>20000</v>
      </c>
      <c r="H197" s="64">
        <f t="shared" si="287"/>
        <v>5620</v>
      </c>
      <c r="I197" s="64">
        <f t="shared" si="287"/>
        <v>1695</v>
      </c>
      <c r="J197" s="64">
        <f t="shared" si="287"/>
        <v>20000</v>
      </c>
      <c r="K197" s="64">
        <v>42</v>
      </c>
      <c r="L197" s="64">
        <f t="shared" ref="L197:R197" si="288">SUM(L198:L203)</f>
        <v>42</v>
      </c>
      <c r="M197" s="64">
        <f t="shared" si="288"/>
        <v>1260</v>
      </c>
      <c r="N197" s="64">
        <f t="shared" si="288"/>
        <v>7315</v>
      </c>
      <c r="O197" s="64">
        <f t="shared" si="288"/>
        <v>3780</v>
      </c>
      <c r="P197" s="82">
        <f t="shared" si="288"/>
        <v>0</v>
      </c>
      <c r="Q197" s="82">
        <f t="shared" si="288"/>
        <v>3535</v>
      </c>
      <c r="R197" s="82">
        <f t="shared" si="288"/>
        <v>0</v>
      </c>
      <c r="S197" s="64">
        <f>VLOOKUP(B197,[1]补助标准!B:L,7,FALSE)</f>
        <v>0.1946</v>
      </c>
      <c r="T197" s="64"/>
      <c r="U197" s="82"/>
      <c r="V197" s="64"/>
      <c r="W197" s="82">
        <f>SUM(W198:W203)</f>
        <v>1852</v>
      </c>
      <c r="X197" s="64">
        <f>SUM(X198:X203)</f>
        <v>1626</v>
      </c>
      <c r="Y197" s="64"/>
      <c r="Z197" s="82">
        <f t="shared" si="202"/>
        <v>1626</v>
      </c>
      <c r="AA197" s="82"/>
      <c r="AB197" s="82"/>
      <c r="AC197" s="64"/>
    </row>
    <row r="198" s="42" customFormat="true" ht="25.5" spans="1:29">
      <c r="A198" s="64">
        <v>1</v>
      </c>
      <c r="B198" s="65" t="s">
        <v>530</v>
      </c>
      <c r="C198" s="66" t="s">
        <v>531</v>
      </c>
      <c r="D198" s="65" t="s">
        <v>72</v>
      </c>
      <c r="E198" s="65" t="s">
        <v>532</v>
      </c>
      <c r="F198" s="65" t="s">
        <v>533</v>
      </c>
      <c r="G198" s="64">
        <v>8200</v>
      </c>
      <c r="H198" s="64">
        <v>3160</v>
      </c>
      <c r="I198" s="64">
        <v>800</v>
      </c>
      <c r="J198" s="64">
        <v>8200</v>
      </c>
      <c r="K198" s="64">
        <v>12</v>
      </c>
      <c r="L198" s="64">
        <v>12</v>
      </c>
      <c r="M198" s="64">
        <v>360</v>
      </c>
      <c r="N198" s="64">
        <v>3960</v>
      </c>
      <c r="O198" s="64">
        <v>2400</v>
      </c>
      <c r="P198" s="64"/>
      <c r="Q198" s="64">
        <v>1560</v>
      </c>
      <c r="R198" s="64"/>
      <c r="S198" s="64">
        <f>S197</f>
        <v>0.1946</v>
      </c>
      <c r="T198" s="64">
        <f t="shared" ref="T198:T203" si="289">IF(D198="扶持",0.4,(IF(D198="新建",1,IF(D198="改建",0.45,IF(D198="扩建",0.6,IF(D198="配建",0.4,0))))))</f>
        <v>1</v>
      </c>
      <c r="U198" s="64">
        <f t="shared" ref="U198:U203" si="290">IF(L198&gt;=12,3200,IF(L198&gt;=9,2500,IF(L198&gt;=6,1800,1200)))</f>
        <v>3200</v>
      </c>
      <c r="V198" s="64">
        <f t="shared" ref="V198:V203" si="291">ROUND(MIN(G198,U198),0)</f>
        <v>3200</v>
      </c>
      <c r="W198" s="64">
        <f t="shared" ref="W198:W203" si="292">ROUND(S198*V198*T198,0)</f>
        <v>623</v>
      </c>
      <c r="X198" s="64">
        <f t="shared" ref="X198:X203" si="293">MIN(W198,O198)</f>
        <v>623</v>
      </c>
      <c r="Y198" s="64"/>
      <c r="Z198" s="64">
        <f t="shared" ref="Z198:Z219" si="294">X198+Y198</f>
        <v>623</v>
      </c>
      <c r="AA198" s="64">
        <v>2022.8</v>
      </c>
      <c r="AB198" s="64">
        <v>2023.8</v>
      </c>
      <c r="AC198" s="64"/>
    </row>
    <row r="199" s="42" customFormat="true" ht="25.5" spans="1:29">
      <c r="A199" s="64">
        <v>2</v>
      </c>
      <c r="B199" s="65" t="s">
        <v>530</v>
      </c>
      <c r="C199" s="66" t="s">
        <v>534</v>
      </c>
      <c r="D199" s="65" t="s">
        <v>72</v>
      </c>
      <c r="E199" s="65"/>
      <c r="F199" s="65" t="s">
        <v>535</v>
      </c>
      <c r="G199" s="64">
        <v>6200</v>
      </c>
      <c r="H199" s="64">
        <v>2000</v>
      </c>
      <c r="I199" s="64">
        <v>800</v>
      </c>
      <c r="J199" s="64">
        <v>6200</v>
      </c>
      <c r="K199" s="64">
        <v>12</v>
      </c>
      <c r="L199" s="64">
        <v>12</v>
      </c>
      <c r="M199" s="64">
        <v>360</v>
      </c>
      <c r="N199" s="64">
        <v>2800</v>
      </c>
      <c r="O199" s="64">
        <v>1000</v>
      </c>
      <c r="P199" s="64"/>
      <c r="Q199" s="64">
        <v>1800</v>
      </c>
      <c r="R199" s="64"/>
      <c r="S199" s="64">
        <f>S197</f>
        <v>0.1946</v>
      </c>
      <c r="T199" s="64">
        <f t="shared" si="289"/>
        <v>1</v>
      </c>
      <c r="U199" s="64">
        <f t="shared" si="290"/>
        <v>3200</v>
      </c>
      <c r="V199" s="64">
        <f t="shared" si="291"/>
        <v>3200</v>
      </c>
      <c r="W199" s="64">
        <f t="shared" si="292"/>
        <v>623</v>
      </c>
      <c r="X199" s="64">
        <f t="shared" si="293"/>
        <v>623</v>
      </c>
      <c r="Y199" s="64"/>
      <c r="Z199" s="64">
        <f t="shared" si="294"/>
        <v>623</v>
      </c>
      <c r="AA199" s="64">
        <v>2022.11</v>
      </c>
      <c r="AB199" s="64">
        <v>2023.8</v>
      </c>
      <c r="AC199" s="64"/>
    </row>
    <row r="200" s="42" customFormat="true" spans="1:29">
      <c r="A200" s="64">
        <v>3</v>
      </c>
      <c r="B200" s="65" t="s">
        <v>536</v>
      </c>
      <c r="C200" s="66" t="s">
        <v>537</v>
      </c>
      <c r="D200" s="65" t="s">
        <v>61</v>
      </c>
      <c r="E200" s="65"/>
      <c r="F200" s="65" t="s">
        <v>538</v>
      </c>
      <c r="G200" s="86">
        <v>2000</v>
      </c>
      <c r="H200" s="64">
        <v>200</v>
      </c>
      <c r="I200" s="64">
        <v>40</v>
      </c>
      <c r="J200" s="86">
        <v>2000</v>
      </c>
      <c r="K200" s="64">
        <v>6</v>
      </c>
      <c r="L200" s="64">
        <f t="shared" ref="L200:L203" si="295">M200/30</f>
        <v>6</v>
      </c>
      <c r="M200" s="64">
        <v>180</v>
      </c>
      <c r="N200" s="64">
        <v>240</v>
      </c>
      <c r="O200" s="64">
        <v>160</v>
      </c>
      <c r="P200" s="64"/>
      <c r="Q200" s="64">
        <v>80</v>
      </c>
      <c r="R200" s="64"/>
      <c r="S200" s="64">
        <f>S197</f>
        <v>0.1946</v>
      </c>
      <c r="T200" s="64">
        <f t="shared" si="289"/>
        <v>0.6</v>
      </c>
      <c r="U200" s="64">
        <f t="shared" si="290"/>
        <v>1800</v>
      </c>
      <c r="V200" s="64">
        <f t="shared" si="291"/>
        <v>1800</v>
      </c>
      <c r="W200" s="64">
        <f t="shared" si="292"/>
        <v>210</v>
      </c>
      <c r="X200" s="64">
        <f t="shared" si="293"/>
        <v>160</v>
      </c>
      <c r="Y200" s="64"/>
      <c r="Z200" s="64">
        <f t="shared" si="294"/>
        <v>160</v>
      </c>
      <c r="AA200" s="64">
        <v>2022.8</v>
      </c>
      <c r="AB200" s="64">
        <v>2023.7</v>
      </c>
      <c r="AC200" s="64"/>
    </row>
    <row r="201" s="42" customFormat="true" spans="1:29">
      <c r="A201" s="64">
        <v>4</v>
      </c>
      <c r="B201" s="65" t="s">
        <v>539</v>
      </c>
      <c r="C201" s="66" t="s">
        <v>540</v>
      </c>
      <c r="D201" s="65" t="s">
        <v>61</v>
      </c>
      <c r="E201" s="65"/>
      <c r="F201" s="65" t="s">
        <v>130</v>
      </c>
      <c r="G201" s="86">
        <v>2000</v>
      </c>
      <c r="H201" s="64">
        <v>120</v>
      </c>
      <c r="I201" s="64">
        <v>25</v>
      </c>
      <c r="J201" s="86">
        <v>2000</v>
      </c>
      <c r="K201" s="64">
        <v>6</v>
      </c>
      <c r="L201" s="64">
        <f t="shared" si="295"/>
        <v>6</v>
      </c>
      <c r="M201" s="64">
        <v>180</v>
      </c>
      <c r="N201" s="64">
        <v>145</v>
      </c>
      <c r="O201" s="64">
        <v>96</v>
      </c>
      <c r="P201" s="64"/>
      <c r="Q201" s="64">
        <v>49</v>
      </c>
      <c r="R201" s="64"/>
      <c r="S201" s="64">
        <f>S197</f>
        <v>0.1946</v>
      </c>
      <c r="T201" s="64">
        <f t="shared" si="289"/>
        <v>0.6</v>
      </c>
      <c r="U201" s="64">
        <f t="shared" si="290"/>
        <v>1800</v>
      </c>
      <c r="V201" s="64">
        <f t="shared" si="291"/>
        <v>1800</v>
      </c>
      <c r="W201" s="64">
        <f t="shared" si="292"/>
        <v>210</v>
      </c>
      <c r="X201" s="64">
        <f t="shared" si="293"/>
        <v>96</v>
      </c>
      <c r="Y201" s="64"/>
      <c r="Z201" s="64">
        <f t="shared" si="294"/>
        <v>96</v>
      </c>
      <c r="AA201" s="64">
        <v>2022.8</v>
      </c>
      <c r="AB201" s="64">
        <v>2023.7</v>
      </c>
      <c r="AC201" s="64"/>
    </row>
    <row r="202" s="42" customFormat="true" spans="1:29">
      <c r="A202" s="64">
        <v>5</v>
      </c>
      <c r="B202" s="65" t="s">
        <v>541</v>
      </c>
      <c r="C202" s="66" t="s">
        <v>542</v>
      </c>
      <c r="D202" s="65" t="s">
        <v>61</v>
      </c>
      <c r="E202" s="65"/>
      <c r="F202" s="65" t="s">
        <v>130</v>
      </c>
      <c r="G202" s="86">
        <v>800</v>
      </c>
      <c r="H202" s="64">
        <v>80</v>
      </c>
      <c r="I202" s="64">
        <v>20</v>
      </c>
      <c r="J202" s="86">
        <v>800</v>
      </c>
      <c r="K202" s="64">
        <v>3</v>
      </c>
      <c r="L202" s="64">
        <f t="shared" si="295"/>
        <v>3</v>
      </c>
      <c r="M202" s="64">
        <v>90</v>
      </c>
      <c r="N202" s="64">
        <v>100</v>
      </c>
      <c r="O202" s="64">
        <v>64</v>
      </c>
      <c r="P202" s="64"/>
      <c r="Q202" s="64">
        <v>36</v>
      </c>
      <c r="R202" s="64"/>
      <c r="S202" s="64">
        <f>S197</f>
        <v>0.1946</v>
      </c>
      <c r="T202" s="64">
        <f t="shared" si="289"/>
        <v>0.6</v>
      </c>
      <c r="U202" s="64">
        <f t="shared" si="290"/>
        <v>1200</v>
      </c>
      <c r="V202" s="64">
        <f t="shared" si="291"/>
        <v>800</v>
      </c>
      <c r="W202" s="64">
        <f t="shared" si="292"/>
        <v>93</v>
      </c>
      <c r="X202" s="64">
        <f t="shared" si="293"/>
        <v>64</v>
      </c>
      <c r="Y202" s="64"/>
      <c r="Z202" s="64">
        <f t="shared" si="294"/>
        <v>64</v>
      </c>
      <c r="AA202" s="64">
        <v>2022.8</v>
      </c>
      <c r="AB202" s="64">
        <v>2023.2</v>
      </c>
      <c r="AC202" s="64"/>
    </row>
    <row r="203" s="42" customFormat="true" spans="1:29">
      <c r="A203" s="64">
        <v>6</v>
      </c>
      <c r="B203" s="65" t="s">
        <v>543</v>
      </c>
      <c r="C203" s="66" t="s">
        <v>544</v>
      </c>
      <c r="D203" s="65" t="s">
        <v>61</v>
      </c>
      <c r="E203" s="65"/>
      <c r="F203" s="65" t="s">
        <v>130</v>
      </c>
      <c r="G203" s="86">
        <v>800</v>
      </c>
      <c r="H203" s="64">
        <v>60</v>
      </c>
      <c r="I203" s="64">
        <v>10</v>
      </c>
      <c r="J203" s="86">
        <v>800</v>
      </c>
      <c r="K203" s="64">
        <v>3</v>
      </c>
      <c r="L203" s="64">
        <f t="shared" si="295"/>
        <v>3</v>
      </c>
      <c r="M203" s="64">
        <v>90</v>
      </c>
      <c r="N203" s="64">
        <v>70</v>
      </c>
      <c r="O203" s="64">
        <v>60</v>
      </c>
      <c r="P203" s="64"/>
      <c r="Q203" s="64">
        <v>10</v>
      </c>
      <c r="R203" s="64"/>
      <c r="S203" s="64">
        <f>S197</f>
        <v>0.1946</v>
      </c>
      <c r="T203" s="64">
        <f t="shared" si="289"/>
        <v>0.6</v>
      </c>
      <c r="U203" s="64">
        <f t="shared" si="290"/>
        <v>1200</v>
      </c>
      <c r="V203" s="64">
        <f t="shared" si="291"/>
        <v>800</v>
      </c>
      <c r="W203" s="64">
        <f t="shared" si="292"/>
        <v>93</v>
      </c>
      <c r="X203" s="64">
        <f t="shared" si="293"/>
        <v>60</v>
      </c>
      <c r="Y203" s="64"/>
      <c r="Z203" s="64">
        <f t="shared" si="294"/>
        <v>60</v>
      </c>
      <c r="AA203" s="64">
        <v>2022.8</v>
      </c>
      <c r="AB203" s="64">
        <v>2023.2</v>
      </c>
      <c r="AC203" s="64"/>
    </row>
    <row r="204" s="42" customFormat="true" spans="1:29">
      <c r="A204" s="64">
        <v>1</v>
      </c>
      <c r="B204" s="71" t="s">
        <v>545</v>
      </c>
      <c r="C204" s="65">
        <v>2</v>
      </c>
      <c r="D204" s="65"/>
      <c r="E204" s="76"/>
      <c r="F204" s="65" t="s">
        <v>546</v>
      </c>
      <c r="G204" s="64">
        <f t="shared" ref="G204:J204" si="296">SUM(G205:G206)</f>
        <v>6000</v>
      </c>
      <c r="H204" s="64">
        <f t="shared" si="296"/>
        <v>2420</v>
      </c>
      <c r="I204" s="64">
        <f t="shared" si="296"/>
        <v>0</v>
      </c>
      <c r="J204" s="64">
        <f t="shared" si="296"/>
        <v>8000</v>
      </c>
      <c r="K204" s="64">
        <v>15</v>
      </c>
      <c r="L204" s="64">
        <f t="shared" ref="L204:Q204" si="297">SUM(L205:L206)</f>
        <v>15</v>
      </c>
      <c r="M204" s="64">
        <f t="shared" si="297"/>
        <v>450</v>
      </c>
      <c r="N204" s="64">
        <f t="shared" si="297"/>
        <v>2420</v>
      </c>
      <c r="O204" s="64">
        <f t="shared" si="297"/>
        <v>575</v>
      </c>
      <c r="P204" s="82">
        <f t="shared" si="297"/>
        <v>0</v>
      </c>
      <c r="Q204" s="82">
        <f t="shared" si="297"/>
        <v>1845</v>
      </c>
      <c r="R204" s="82"/>
      <c r="S204" s="64">
        <f>VLOOKUP(B204,[1]补助标准!B:L,7,FALSE)</f>
        <v>0.1946</v>
      </c>
      <c r="T204" s="64"/>
      <c r="U204" s="82"/>
      <c r="V204" s="64"/>
      <c r="W204" s="82">
        <f>SUM(W205:W206)</f>
        <v>697</v>
      </c>
      <c r="X204" s="64">
        <f>SUM(X205:X206)</f>
        <v>575</v>
      </c>
      <c r="Y204" s="64">
        <v>150</v>
      </c>
      <c r="Z204" s="82">
        <f t="shared" si="294"/>
        <v>725</v>
      </c>
      <c r="AA204" s="82"/>
      <c r="AB204" s="82"/>
      <c r="AC204" s="64"/>
    </row>
    <row r="205" s="42" customFormat="true" ht="25.5" spans="1:29">
      <c r="A205" s="64">
        <v>1</v>
      </c>
      <c r="B205" s="65" t="s">
        <v>547</v>
      </c>
      <c r="C205" s="66" t="s">
        <v>548</v>
      </c>
      <c r="D205" s="65" t="s">
        <v>72</v>
      </c>
      <c r="E205" s="65" t="s">
        <v>549</v>
      </c>
      <c r="F205" s="65" t="s">
        <v>550</v>
      </c>
      <c r="G205" s="64">
        <v>4000</v>
      </c>
      <c r="H205" s="64">
        <v>2200</v>
      </c>
      <c r="I205" s="64"/>
      <c r="J205" s="64">
        <v>4000</v>
      </c>
      <c r="K205" s="64">
        <v>9</v>
      </c>
      <c r="L205" s="64">
        <v>9</v>
      </c>
      <c r="M205" s="64">
        <v>270</v>
      </c>
      <c r="N205" s="64">
        <v>2200</v>
      </c>
      <c r="O205" s="64">
        <v>375</v>
      </c>
      <c r="P205" s="64"/>
      <c r="Q205" s="64">
        <v>1825</v>
      </c>
      <c r="R205" s="64"/>
      <c r="S205" s="64">
        <f>S204</f>
        <v>0.1946</v>
      </c>
      <c r="T205" s="64">
        <f t="shared" ref="T205:T209" si="298">IF(D205="扶持",0.4,(IF(D205="新建",1,IF(D205="改建",0.45,IF(D205="扩建",0.6,IF(D205="配建",0.4,0))))))</f>
        <v>1</v>
      </c>
      <c r="U205" s="64">
        <f t="shared" ref="U205:U209" si="299">IF(L205&gt;=12,3200,IF(L205&gt;=9,2500,IF(L205&gt;=6,1800,1200)))</f>
        <v>2500</v>
      </c>
      <c r="V205" s="64">
        <f t="shared" ref="V205:V209" si="300">ROUND(MIN(G205,U205),0)</f>
        <v>2500</v>
      </c>
      <c r="W205" s="64">
        <f t="shared" ref="W205:W209" si="301">ROUND(S205*V205*T205,0)</f>
        <v>487</v>
      </c>
      <c r="X205" s="64">
        <f t="shared" ref="X205:X209" si="302">MIN(W205,O205)</f>
        <v>375</v>
      </c>
      <c r="Y205" s="64"/>
      <c r="Z205" s="64">
        <f t="shared" si="294"/>
        <v>375</v>
      </c>
      <c r="AA205" s="64">
        <v>2022.12</v>
      </c>
      <c r="AB205" s="64">
        <v>2023.12</v>
      </c>
      <c r="AC205" s="64"/>
    </row>
    <row r="206" s="42" customFormat="true" ht="25.5" spans="1:29">
      <c r="A206" s="64">
        <v>2</v>
      </c>
      <c r="B206" s="65" t="s">
        <v>551</v>
      </c>
      <c r="C206" s="66" t="s">
        <v>552</v>
      </c>
      <c r="D206" s="65" t="s">
        <v>61</v>
      </c>
      <c r="E206" s="65" t="s">
        <v>553</v>
      </c>
      <c r="F206" s="65" t="s">
        <v>507</v>
      </c>
      <c r="G206" s="64">
        <v>2000</v>
      </c>
      <c r="H206" s="64">
        <v>220</v>
      </c>
      <c r="I206" s="64"/>
      <c r="J206" s="64">
        <v>4000</v>
      </c>
      <c r="K206" s="64">
        <v>6</v>
      </c>
      <c r="L206" s="64">
        <f t="shared" ref="L206:L211" si="303">M206/30</f>
        <v>6</v>
      </c>
      <c r="M206" s="64">
        <v>180</v>
      </c>
      <c r="N206" s="64">
        <v>220</v>
      </c>
      <c r="O206" s="64">
        <v>200</v>
      </c>
      <c r="P206" s="64"/>
      <c r="Q206" s="64">
        <v>20</v>
      </c>
      <c r="R206" s="64"/>
      <c r="S206" s="64">
        <f>S204</f>
        <v>0.1946</v>
      </c>
      <c r="T206" s="64">
        <f t="shared" si="298"/>
        <v>0.6</v>
      </c>
      <c r="U206" s="64">
        <f t="shared" si="299"/>
        <v>1800</v>
      </c>
      <c r="V206" s="64">
        <f t="shared" si="300"/>
        <v>1800</v>
      </c>
      <c r="W206" s="64">
        <f t="shared" si="301"/>
        <v>210</v>
      </c>
      <c r="X206" s="64">
        <f t="shared" si="302"/>
        <v>200</v>
      </c>
      <c r="Y206" s="64">
        <v>150</v>
      </c>
      <c r="Z206" s="64">
        <f t="shared" si="294"/>
        <v>350</v>
      </c>
      <c r="AA206" s="64">
        <v>2022.6</v>
      </c>
      <c r="AB206" s="64">
        <v>2022.9</v>
      </c>
      <c r="AC206" s="64"/>
    </row>
    <row r="207" s="42" customFormat="true" spans="1:29">
      <c r="A207" s="64">
        <v>1</v>
      </c>
      <c r="B207" s="71" t="s">
        <v>554</v>
      </c>
      <c r="C207" s="65">
        <v>2</v>
      </c>
      <c r="D207" s="65"/>
      <c r="E207" s="76"/>
      <c r="F207" s="76"/>
      <c r="G207" s="64">
        <f t="shared" ref="G207:J207" si="304">SUM(G208:G209)</f>
        <v>11700</v>
      </c>
      <c r="H207" s="64">
        <f t="shared" si="304"/>
        <v>4200</v>
      </c>
      <c r="I207" s="64">
        <f t="shared" si="304"/>
        <v>1800</v>
      </c>
      <c r="J207" s="64">
        <f t="shared" si="304"/>
        <v>11700</v>
      </c>
      <c r="K207" s="64">
        <v>30</v>
      </c>
      <c r="L207" s="64">
        <f t="shared" ref="L207:Q207" si="305">SUM(L208:L209)</f>
        <v>30</v>
      </c>
      <c r="M207" s="64">
        <f t="shared" si="305"/>
        <v>900</v>
      </c>
      <c r="N207" s="64">
        <f t="shared" si="305"/>
        <v>6000</v>
      </c>
      <c r="O207" s="64">
        <f t="shared" si="305"/>
        <v>2800</v>
      </c>
      <c r="P207" s="82">
        <f t="shared" si="305"/>
        <v>0</v>
      </c>
      <c r="Q207" s="82">
        <f t="shared" si="305"/>
        <v>3200</v>
      </c>
      <c r="R207" s="82"/>
      <c r="S207" s="64">
        <f>VLOOKUP(B207,[1]补助标准!B:L,7,FALSE)</f>
        <v>0.1946</v>
      </c>
      <c r="T207" s="64"/>
      <c r="U207" s="82"/>
      <c r="V207" s="64"/>
      <c r="W207" s="82">
        <f>SUM(W208:W209)</f>
        <v>997</v>
      </c>
      <c r="X207" s="64">
        <f>SUM(X208:X209)</f>
        <v>997</v>
      </c>
      <c r="Y207" s="64">
        <v>500</v>
      </c>
      <c r="Z207" s="82">
        <f t="shared" si="294"/>
        <v>1497</v>
      </c>
      <c r="AA207" s="82"/>
      <c r="AB207" s="82"/>
      <c r="AC207" s="64"/>
    </row>
    <row r="208" s="42" customFormat="true" ht="25.5" spans="1:29">
      <c r="A208" s="64">
        <v>1</v>
      </c>
      <c r="B208" s="65" t="s">
        <v>555</v>
      </c>
      <c r="C208" s="66" t="s">
        <v>556</v>
      </c>
      <c r="D208" s="65" t="s">
        <v>72</v>
      </c>
      <c r="E208" s="65" t="s">
        <v>557</v>
      </c>
      <c r="F208" s="65" t="s">
        <v>558</v>
      </c>
      <c r="G208" s="64">
        <v>8500</v>
      </c>
      <c r="H208" s="64">
        <v>3500</v>
      </c>
      <c r="I208" s="64">
        <v>1500</v>
      </c>
      <c r="J208" s="64">
        <v>8500</v>
      </c>
      <c r="K208" s="64">
        <v>15</v>
      </c>
      <c r="L208" s="64">
        <v>15</v>
      </c>
      <c r="M208" s="64">
        <v>450</v>
      </c>
      <c r="N208" s="64">
        <v>5000</v>
      </c>
      <c r="O208" s="64">
        <f>N208*0.4</f>
        <v>2000</v>
      </c>
      <c r="P208" s="64"/>
      <c r="Q208" s="64">
        <f>N208*0.6</f>
        <v>3000</v>
      </c>
      <c r="R208" s="64"/>
      <c r="S208" s="64">
        <f t="shared" ref="S208:S213" si="306">S207</f>
        <v>0.1946</v>
      </c>
      <c r="T208" s="64">
        <f t="shared" si="298"/>
        <v>1</v>
      </c>
      <c r="U208" s="64">
        <f t="shared" si="299"/>
        <v>3200</v>
      </c>
      <c r="V208" s="64">
        <f t="shared" si="300"/>
        <v>3200</v>
      </c>
      <c r="W208" s="64">
        <f t="shared" si="301"/>
        <v>623</v>
      </c>
      <c r="X208" s="64">
        <f t="shared" si="302"/>
        <v>623</v>
      </c>
      <c r="Y208" s="64">
        <v>300</v>
      </c>
      <c r="Z208" s="64">
        <f t="shared" si="294"/>
        <v>923</v>
      </c>
      <c r="AA208" s="84">
        <v>2022.12</v>
      </c>
      <c r="AB208" s="84" t="s">
        <v>559</v>
      </c>
      <c r="AC208" s="64"/>
    </row>
    <row r="209" s="42" customFormat="true" spans="1:29">
      <c r="A209" s="64">
        <v>2</v>
      </c>
      <c r="B209" s="65" t="s">
        <v>560</v>
      </c>
      <c r="C209" s="66" t="s">
        <v>561</v>
      </c>
      <c r="D209" s="65" t="s">
        <v>61</v>
      </c>
      <c r="E209" s="65"/>
      <c r="F209" s="65" t="s">
        <v>434</v>
      </c>
      <c r="G209" s="64">
        <v>3200</v>
      </c>
      <c r="H209" s="64">
        <v>700</v>
      </c>
      <c r="I209" s="64">
        <v>300</v>
      </c>
      <c r="J209" s="64">
        <v>3200</v>
      </c>
      <c r="K209" s="64">
        <v>15</v>
      </c>
      <c r="L209" s="64">
        <f t="shared" si="303"/>
        <v>15</v>
      </c>
      <c r="M209" s="64">
        <v>450</v>
      </c>
      <c r="N209" s="64">
        <v>1000</v>
      </c>
      <c r="O209" s="64">
        <v>800</v>
      </c>
      <c r="P209" s="64"/>
      <c r="Q209" s="64">
        <f>N209-O209</f>
        <v>200</v>
      </c>
      <c r="R209" s="64"/>
      <c r="S209" s="64">
        <f>S207</f>
        <v>0.1946</v>
      </c>
      <c r="T209" s="64">
        <f t="shared" si="298"/>
        <v>0.6</v>
      </c>
      <c r="U209" s="64">
        <f t="shared" si="299"/>
        <v>3200</v>
      </c>
      <c r="V209" s="64">
        <f t="shared" si="300"/>
        <v>3200</v>
      </c>
      <c r="W209" s="64">
        <f t="shared" si="301"/>
        <v>374</v>
      </c>
      <c r="X209" s="64">
        <f t="shared" si="302"/>
        <v>374</v>
      </c>
      <c r="Y209" s="64">
        <v>200</v>
      </c>
      <c r="Z209" s="64">
        <f t="shared" si="294"/>
        <v>574</v>
      </c>
      <c r="AA209" s="64">
        <v>2022.6</v>
      </c>
      <c r="AB209" s="64">
        <v>2022.12</v>
      </c>
      <c r="AC209" s="64"/>
    </row>
    <row r="210" s="42" customFormat="true" spans="1:29">
      <c r="A210" s="64">
        <v>1</v>
      </c>
      <c r="B210" s="71" t="s">
        <v>562</v>
      </c>
      <c r="C210" s="65">
        <v>1</v>
      </c>
      <c r="D210" s="65"/>
      <c r="E210" s="76"/>
      <c r="F210" s="76"/>
      <c r="G210" s="64">
        <v>3300</v>
      </c>
      <c r="H210" s="64">
        <v>400</v>
      </c>
      <c r="I210" s="64">
        <v>100</v>
      </c>
      <c r="J210" s="64">
        <v>3300</v>
      </c>
      <c r="K210" s="64">
        <v>9</v>
      </c>
      <c r="L210" s="64">
        <v>9</v>
      </c>
      <c r="M210" s="64">
        <v>270</v>
      </c>
      <c r="N210" s="64">
        <v>500</v>
      </c>
      <c r="O210" s="64">
        <v>400</v>
      </c>
      <c r="P210" s="82">
        <v>0</v>
      </c>
      <c r="Q210" s="82"/>
      <c r="R210" s="82">
        <v>100</v>
      </c>
      <c r="S210" s="64">
        <f>VLOOKUP(B210,[1]补助标准!B:L,7,FALSE)</f>
        <v>0.1946</v>
      </c>
      <c r="T210" s="64"/>
      <c r="U210" s="82"/>
      <c r="V210" s="64"/>
      <c r="W210" s="82">
        <f t="shared" ref="W210:W214" si="307">W211</f>
        <v>219</v>
      </c>
      <c r="X210" s="64">
        <f t="shared" ref="X210:X214" si="308">X211</f>
        <v>219</v>
      </c>
      <c r="Y210" s="64">
        <v>200</v>
      </c>
      <c r="Z210" s="82">
        <f t="shared" si="294"/>
        <v>419</v>
      </c>
      <c r="AA210" s="82"/>
      <c r="AB210" s="82"/>
      <c r="AC210" s="64"/>
    </row>
    <row r="211" s="42" customFormat="true" ht="25.5" spans="1:29">
      <c r="A211" s="64">
        <v>1</v>
      </c>
      <c r="B211" s="65" t="s">
        <v>563</v>
      </c>
      <c r="C211" s="66" t="s">
        <v>564</v>
      </c>
      <c r="D211" s="65" t="s">
        <v>65</v>
      </c>
      <c r="E211" s="65"/>
      <c r="F211" s="65" t="s">
        <v>507</v>
      </c>
      <c r="G211" s="64">
        <v>3300</v>
      </c>
      <c r="H211" s="64">
        <v>400</v>
      </c>
      <c r="I211" s="64">
        <v>100</v>
      </c>
      <c r="J211" s="64">
        <v>3300</v>
      </c>
      <c r="K211" s="64">
        <v>9</v>
      </c>
      <c r="L211" s="64">
        <f t="shared" si="303"/>
        <v>9</v>
      </c>
      <c r="M211" s="64">
        <v>270</v>
      </c>
      <c r="N211" s="64">
        <v>500</v>
      </c>
      <c r="O211" s="64">
        <v>400</v>
      </c>
      <c r="P211" s="64">
        <v>0</v>
      </c>
      <c r="Q211" s="64"/>
      <c r="R211" s="64">
        <v>100</v>
      </c>
      <c r="S211" s="64">
        <f t="shared" si="306"/>
        <v>0.1946</v>
      </c>
      <c r="T211" s="64">
        <f t="shared" ref="T211:T215" si="309">IF(D211="扶持",0.4,(IF(D211="新建",1,IF(D211="改建",0.45,IF(D211="扩建",0.6,IF(D211="配建",0.4,0))))))</f>
        <v>0.45</v>
      </c>
      <c r="U211" s="64">
        <f t="shared" ref="U211:U215" si="310">IF(L211&gt;=12,3200,IF(L211&gt;=9,2500,IF(L211&gt;=6,1800,1200)))</f>
        <v>2500</v>
      </c>
      <c r="V211" s="64">
        <f t="shared" ref="V211:V215" si="311">ROUND(MIN(G211,U211),0)</f>
        <v>2500</v>
      </c>
      <c r="W211" s="64">
        <f t="shared" ref="W211:W215" si="312">ROUND(S211*V211*T211,0)</f>
        <v>219</v>
      </c>
      <c r="X211" s="64">
        <f t="shared" ref="X211:X215" si="313">MIN(W211,O211)</f>
        <v>219</v>
      </c>
      <c r="Y211" s="64">
        <v>200</v>
      </c>
      <c r="Z211" s="64">
        <f t="shared" si="294"/>
        <v>419</v>
      </c>
      <c r="AA211" s="64">
        <v>2022.5</v>
      </c>
      <c r="AB211" s="64">
        <v>2022.9</v>
      </c>
      <c r="AC211" s="64"/>
    </row>
    <row r="212" s="42" customFormat="true" spans="1:29">
      <c r="A212" s="64">
        <v>1</v>
      </c>
      <c r="B212" s="71" t="s">
        <v>565</v>
      </c>
      <c r="C212" s="65">
        <v>1</v>
      </c>
      <c r="D212" s="65"/>
      <c r="E212" s="76"/>
      <c r="F212" s="76"/>
      <c r="G212" s="64">
        <v>2200</v>
      </c>
      <c r="H212" s="64">
        <v>600</v>
      </c>
      <c r="I212" s="64">
        <v>200</v>
      </c>
      <c r="J212" s="64">
        <v>2200</v>
      </c>
      <c r="K212" s="64">
        <v>12</v>
      </c>
      <c r="L212" s="64">
        <v>12</v>
      </c>
      <c r="M212" s="64">
        <v>180</v>
      </c>
      <c r="N212" s="64">
        <v>800</v>
      </c>
      <c r="O212" s="64">
        <v>500</v>
      </c>
      <c r="P212" s="82">
        <v>0</v>
      </c>
      <c r="Q212" s="82">
        <v>300</v>
      </c>
      <c r="R212" s="82"/>
      <c r="S212" s="64">
        <f>VLOOKUP(B212,[1]补助标准!B:L,7,FALSE)</f>
        <v>0.1946</v>
      </c>
      <c r="T212" s="64"/>
      <c r="U212" s="82"/>
      <c r="V212" s="64"/>
      <c r="W212" s="82">
        <f t="shared" si="307"/>
        <v>158</v>
      </c>
      <c r="X212" s="64">
        <f t="shared" si="308"/>
        <v>158</v>
      </c>
      <c r="Y212" s="64">
        <v>50</v>
      </c>
      <c r="Z212" s="82">
        <f t="shared" si="294"/>
        <v>208</v>
      </c>
      <c r="AA212" s="82"/>
      <c r="AB212" s="82"/>
      <c r="AC212" s="64"/>
    </row>
    <row r="213" s="42" customFormat="true" spans="1:29">
      <c r="A213" s="64">
        <v>1</v>
      </c>
      <c r="B213" s="65" t="s">
        <v>566</v>
      </c>
      <c r="C213" s="66" t="s">
        <v>567</v>
      </c>
      <c r="D213" s="65" t="s">
        <v>65</v>
      </c>
      <c r="E213" s="65"/>
      <c r="F213" s="65" t="s">
        <v>568</v>
      </c>
      <c r="G213" s="64">
        <v>2200</v>
      </c>
      <c r="H213" s="64">
        <v>600</v>
      </c>
      <c r="I213" s="64">
        <v>200</v>
      </c>
      <c r="J213" s="64">
        <v>2200</v>
      </c>
      <c r="K213" s="64">
        <v>6</v>
      </c>
      <c r="L213" s="64">
        <f t="shared" ref="L213:L217" si="314">M213/30</f>
        <v>6</v>
      </c>
      <c r="M213" s="64">
        <v>180</v>
      </c>
      <c r="N213" s="64">
        <v>800</v>
      </c>
      <c r="O213" s="64">
        <v>500</v>
      </c>
      <c r="P213" s="64">
        <v>0</v>
      </c>
      <c r="Q213" s="64">
        <v>300</v>
      </c>
      <c r="R213" s="64"/>
      <c r="S213" s="64">
        <f t="shared" si="306"/>
        <v>0.1946</v>
      </c>
      <c r="T213" s="64">
        <f t="shared" si="309"/>
        <v>0.45</v>
      </c>
      <c r="U213" s="64">
        <f t="shared" si="310"/>
        <v>1800</v>
      </c>
      <c r="V213" s="64">
        <f t="shared" si="311"/>
        <v>1800</v>
      </c>
      <c r="W213" s="64">
        <f t="shared" si="312"/>
        <v>158</v>
      </c>
      <c r="X213" s="64">
        <f t="shared" si="313"/>
        <v>158</v>
      </c>
      <c r="Y213" s="64">
        <v>50</v>
      </c>
      <c r="Z213" s="64">
        <f t="shared" si="294"/>
        <v>208</v>
      </c>
      <c r="AA213" s="64">
        <v>2022.5</v>
      </c>
      <c r="AB213" s="64">
        <v>2022.9</v>
      </c>
      <c r="AC213" s="64"/>
    </row>
    <row r="214" s="42" customFormat="true" spans="1:29">
      <c r="A214" s="64">
        <v>1</v>
      </c>
      <c r="B214" s="71" t="s">
        <v>569</v>
      </c>
      <c r="C214" s="65">
        <v>1</v>
      </c>
      <c r="D214" s="65"/>
      <c r="E214" s="76"/>
      <c r="F214" s="76"/>
      <c r="G214" s="64">
        <v>2000</v>
      </c>
      <c r="H214" s="64">
        <v>1020</v>
      </c>
      <c r="I214" s="64">
        <v>180</v>
      </c>
      <c r="J214" s="64">
        <v>5995</v>
      </c>
      <c r="K214" s="64">
        <v>21</v>
      </c>
      <c r="L214" s="64">
        <v>21</v>
      </c>
      <c r="M214" s="64">
        <v>180</v>
      </c>
      <c r="N214" s="64">
        <v>1200</v>
      </c>
      <c r="O214" s="64">
        <v>800</v>
      </c>
      <c r="P214" s="82"/>
      <c r="Q214" s="82">
        <v>400</v>
      </c>
      <c r="R214" s="82"/>
      <c r="S214" s="64">
        <f>VLOOKUP(B214,[1]补助标准!B:L,7,FALSE)</f>
        <v>0.1946</v>
      </c>
      <c r="T214" s="64"/>
      <c r="U214" s="82"/>
      <c r="V214" s="64"/>
      <c r="W214" s="82">
        <f t="shared" si="307"/>
        <v>158</v>
      </c>
      <c r="X214" s="64">
        <f t="shared" si="308"/>
        <v>158</v>
      </c>
      <c r="Y214" s="64">
        <v>200</v>
      </c>
      <c r="Z214" s="82">
        <f t="shared" si="294"/>
        <v>358</v>
      </c>
      <c r="AA214" s="82"/>
      <c r="AB214" s="82"/>
      <c r="AC214" s="64"/>
    </row>
    <row r="215" s="42" customFormat="true" spans="1:29">
      <c r="A215" s="64">
        <v>1</v>
      </c>
      <c r="B215" s="65" t="s">
        <v>570</v>
      </c>
      <c r="C215" s="66" t="s">
        <v>298</v>
      </c>
      <c r="D215" s="65" t="s">
        <v>65</v>
      </c>
      <c r="E215" s="65"/>
      <c r="F215" s="65" t="s">
        <v>507</v>
      </c>
      <c r="G215" s="64">
        <v>2000</v>
      </c>
      <c r="H215" s="64">
        <v>1020</v>
      </c>
      <c r="I215" s="64">
        <v>180</v>
      </c>
      <c r="J215" s="64">
        <v>5995</v>
      </c>
      <c r="K215" s="64">
        <v>6</v>
      </c>
      <c r="L215" s="64">
        <f t="shared" si="314"/>
        <v>6</v>
      </c>
      <c r="M215" s="64">
        <v>180</v>
      </c>
      <c r="N215" s="64">
        <v>1200</v>
      </c>
      <c r="O215" s="64">
        <v>800</v>
      </c>
      <c r="P215" s="64"/>
      <c r="Q215" s="64">
        <v>400</v>
      </c>
      <c r="R215" s="64"/>
      <c r="S215" s="64">
        <f>S214</f>
        <v>0.1946</v>
      </c>
      <c r="T215" s="64">
        <f t="shared" si="309"/>
        <v>0.45</v>
      </c>
      <c r="U215" s="64">
        <f t="shared" si="310"/>
        <v>1800</v>
      </c>
      <c r="V215" s="64">
        <f t="shared" si="311"/>
        <v>1800</v>
      </c>
      <c r="W215" s="64">
        <f t="shared" si="312"/>
        <v>158</v>
      </c>
      <c r="X215" s="64">
        <f t="shared" si="313"/>
        <v>158</v>
      </c>
      <c r="Y215" s="64">
        <v>200</v>
      </c>
      <c r="Z215" s="64">
        <f t="shared" si="294"/>
        <v>358</v>
      </c>
      <c r="AA215" s="64">
        <v>2022.7</v>
      </c>
      <c r="AB215" s="64">
        <v>2023.8</v>
      </c>
      <c r="AC215" s="64"/>
    </row>
    <row r="216" s="42" customFormat="true" spans="1:29">
      <c r="A216" s="64">
        <v>1</v>
      </c>
      <c r="B216" s="71" t="s">
        <v>571</v>
      </c>
      <c r="C216" s="65">
        <v>1</v>
      </c>
      <c r="D216" s="65"/>
      <c r="E216" s="76"/>
      <c r="F216" s="76"/>
      <c r="G216" s="64">
        <v>350</v>
      </c>
      <c r="H216" s="64">
        <v>350</v>
      </c>
      <c r="I216" s="64">
        <v>200</v>
      </c>
      <c r="J216" s="64">
        <v>2468</v>
      </c>
      <c r="K216" s="64">
        <v>12</v>
      </c>
      <c r="L216" s="64">
        <v>12</v>
      </c>
      <c r="M216" s="64">
        <v>90</v>
      </c>
      <c r="N216" s="64">
        <v>550</v>
      </c>
      <c r="O216" s="64">
        <v>440</v>
      </c>
      <c r="P216" s="82"/>
      <c r="Q216" s="82">
        <v>110</v>
      </c>
      <c r="R216" s="82"/>
      <c r="S216" s="64">
        <f>VLOOKUP(B216,[1]补助标准!B:L,7,FALSE)</f>
        <v>0.1946</v>
      </c>
      <c r="T216" s="64"/>
      <c r="U216" s="82"/>
      <c r="V216" s="64"/>
      <c r="W216" s="82">
        <f>W217</f>
        <v>41</v>
      </c>
      <c r="X216" s="64">
        <f>X217</f>
        <v>41</v>
      </c>
      <c r="Y216" s="64"/>
      <c r="Z216" s="82">
        <f t="shared" si="294"/>
        <v>41</v>
      </c>
      <c r="AA216" s="82"/>
      <c r="AB216" s="82"/>
      <c r="AC216" s="64"/>
    </row>
    <row r="217" s="42" customFormat="true" ht="38.25" spans="1:29">
      <c r="A217" s="64">
        <v>1</v>
      </c>
      <c r="B217" s="65" t="s">
        <v>572</v>
      </c>
      <c r="C217" s="66" t="s">
        <v>573</v>
      </c>
      <c r="D217" s="65" t="s">
        <v>61</v>
      </c>
      <c r="E217" s="65"/>
      <c r="F217" s="65" t="s">
        <v>574</v>
      </c>
      <c r="G217" s="64">
        <v>350</v>
      </c>
      <c r="H217" s="64">
        <v>350</v>
      </c>
      <c r="I217" s="64">
        <v>200</v>
      </c>
      <c r="J217" s="64">
        <v>2468</v>
      </c>
      <c r="K217" s="64">
        <v>3</v>
      </c>
      <c r="L217" s="64">
        <f t="shared" si="314"/>
        <v>3</v>
      </c>
      <c r="M217" s="64">
        <v>90</v>
      </c>
      <c r="N217" s="64">
        <v>550</v>
      </c>
      <c r="O217" s="64">
        <v>440</v>
      </c>
      <c r="P217" s="64"/>
      <c r="Q217" s="64">
        <v>110</v>
      </c>
      <c r="R217" s="64"/>
      <c r="S217" s="64">
        <f>S216</f>
        <v>0.1946</v>
      </c>
      <c r="T217" s="64">
        <f t="shared" ref="T217:T227" si="315">IF(D217="扶持",0.4,(IF(D217="新建",1,IF(D217="改建",0.45,IF(D217="扩建",0.6,IF(D217="配建",0.4,0))))))</f>
        <v>0.6</v>
      </c>
      <c r="U217" s="64">
        <f t="shared" ref="U217:U227" si="316">IF(L217&gt;=12,3200,IF(L217&gt;=9,2500,IF(L217&gt;=6,1800,1200)))</f>
        <v>1200</v>
      </c>
      <c r="V217" s="64">
        <f t="shared" ref="V217:V227" si="317">ROUND(MIN(G217,U217),0)</f>
        <v>350</v>
      </c>
      <c r="W217" s="64">
        <f t="shared" ref="W217:W227" si="318">ROUND(S217*V217*T217,0)</f>
        <v>41</v>
      </c>
      <c r="X217" s="64">
        <f t="shared" ref="X217:X227" si="319">MIN(W217,O217)</f>
        <v>41</v>
      </c>
      <c r="Y217" s="64"/>
      <c r="Z217" s="64">
        <f t="shared" si="294"/>
        <v>41</v>
      </c>
      <c r="AA217" s="83">
        <v>44835</v>
      </c>
      <c r="AB217" s="83">
        <v>45261</v>
      </c>
      <c r="AC217" s="64"/>
    </row>
    <row r="218" s="42" customFormat="true" spans="1:29">
      <c r="A218" s="62"/>
      <c r="B218" s="63" t="s">
        <v>20</v>
      </c>
      <c r="C218" s="63">
        <f>C219+C228+C231+C241+C246+C248+C254</f>
        <v>32</v>
      </c>
      <c r="D218" s="63"/>
      <c r="E218" s="63"/>
      <c r="F218" s="63"/>
      <c r="G218" s="62">
        <f t="shared" ref="G218:J218" si="320">G219+G228+G231+G241+G246+G248+G254</f>
        <v>103362.27</v>
      </c>
      <c r="H218" s="62">
        <f t="shared" si="320"/>
        <v>28749.94</v>
      </c>
      <c r="I218" s="62">
        <f t="shared" si="320"/>
        <v>4889</v>
      </c>
      <c r="J218" s="62">
        <f t="shared" si="320"/>
        <v>122579.16</v>
      </c>
      <c r="K218" s="78">
        <v>292</v>
      </c>
      <c r="L218" s="78">
        <f t="shared" ref="L218:R218" si="321">L219+L228+L231+L241+L246+L248+L254</f>
        <v>268</v>
      </c>
      <c r="M218" s="62">
        <f t="shared" si="321"/>
        <v>8040</v>
      </c>
      <c r="N218" s="62">
        <f t="shared" si="321"/>
        <v>33638.94</v>
      </c>
      <c r="O218" s="62">
        <f t="shared" si="321"/>
        <v>21332</v>
      </c>
      <c r="P218" s="62">
        <f t="shared" si="321"/>
        <v>490</v>
      </c>
      <c r="Q218" s="62">
        <f t="shared" si="321"/>
        <v>10312</v>
      </c>
      <c r="R218" s="62">
        <f t="shared" si="321"/>
        <v>1604.94</v>
      </c>
      <c r="S218" s="64"/>
      <c r="T218" s="78"/>
      <c r="U218" s="78"/>
      <c r="V218" s="78"/>
      <c r="W218" s="78">
        <f>W219+W228+W231+W241+W246+W248+W254</f>
        <v>9834</v>
      </c>
      <c r="X218" s="78">
        <f>X219+X228+X231+X241+X246+X248+X254</f>
        <v>9747</v>
      </c>
      <c r="Y218" s="78"/>
      <c r="Z218" s="62">
        <f t="shared" si="294"/>
        <v>9747</v>
      </c>
      <c r="AA218" s="62"/>
      <c r="AB218" s="62"/>
      <c r="AC218" s="62"/>
    </row>
    <row r="219" s="42" customFormat="true" spans="1:29">
      <c r="A219" s="64">
        <v>1</v>
      </c>
      <c r="B219" s="71" t="s">
        <v>575</v>
      </c>
      <c r="C219" s="65">
        <v>8</v>
      </c>
      <c r="D219" s="65"/>
      <c r="E219" s="65"/>
      <c r="F219" s="65"/>
      <c r="G219" s="64">
        <f t="shared" ref="G219:J219" si="322">SUM(G220:G227)</f>
        <v>34118.27</v>
      </c>
      <c r="H219" s="64">
        <f t="shared" si="322"/>
        <v>8314.94</v>
      </c>
      <c r="I219" s="64">
        <f t="shared" si="322"/>
        <v>1200</v>
      </c>
      <c r="J219" s="64">
        <f t="shared" si="322"/>
        <v>34118.27</v>
      </c>
      <c r="K219" s="64">
        <v>96</v>
      </c>
      <c r="L219" s="64">
        <f t="shared" ref="L219:R219" si="323">SUM(L220:L227)</f>
        <v>96</v>
      </c>
      <c r="M219" s="64">
        <f t="shared" si="323"/>
        <v>2880</v>
      </c>
      <c r="N219" s="64">
        <f t="shared" si="323"/>
        <v>9514.94</v>
      </c>
      <c r="O219" s="64">
        <f t="shared" si="323"/>
        <v>3300</v>
      </c>
      <c r="P219" s="64">
        <f t="shared" si="323"/>
        <v>0</v>
      </c>
      <c r="Q219" s="64">
        <f t="shared" si="323"/>
        <v>5015</v>
      </c>
      <c r="R219" s="64">
        <f t="shared" si="323"/>
        <v>1299.94</v>
      </c>
      <c r="S219" s="64">
        <f>VLOOKUP(B219,[1]补助标准!B:L,7,FALSE)</f>
        <v>0.1946</v>
      </c>
      <c r="T219" s="64"/>
      <c r="U219" s="64"/>
      <c r="V219" s="64"/>
      <c r="W219" s="64">
        <f>SUM(W220:W227)</f>
        <v>2176</v>
      </c>
      <c r="X219" s="64">
        <f>SUM(X220:X227)</f>
        <v>2176</v>
      </c>
      <c r="Y219" s="64"/>
      <c r="Z219" s="82">
        <f t="shared" si="294"/>
        <v>2176</v>
      </c>
      <c r="AA219" s="64"/>
      <c r="AB219" s="64"/>
      <c r="AC219" s="64"/>
    </row>
    <row r="220" s="42" customFormat="true" ht="51" spans="1:29">
      <c r="A220" s="64">
        <v>1</v>
      </c>
      <c r="B220" s="65" t="s">
        <v>576</v>
      </c>
      <c r="C220" s="66" t="s">
        <v>577</v>
      </c>
      <c r="D220" s="65" t="s">
        <v>72</v>
      </c>
      <c r="E220" s="65" t="s">
        <v>578</v>
      </c>
      <c r="F220" s="65" t="s">
        <v>579</v>
      </c>
      <c r="G220" s="64">
        <v>4300</v>
      </c>
      <c r="H220" s="64">
        <v>5915</v>
      </c>
      <c r="I220" s="64"/>
      <c r="J220" s="64">
        <v>4300</v>
      </c>
      <c r="K220" s="64">
        <v>9</v>
      </c>
      <c r="L220" s="64">
        <v>9</v>
      </c>
      <c r="M220" s="64">
        <v>270</v>
      </c>
      <c r="N220" s="64">
        <v>5915</v>
      </c>
      <c r="O220" s="64">
        <v>1000</v>
      </c>
      <c r="P220" s="64"/>
      <c r="Q220" s="64">
        <v>4915</v>
      </c>
      <c r="R220" s="64"/>
      <c r="S220" s="64">
        <f t="shared" ref="S220:S227" si="324">$S$219</f>
        <v>0.1946</v>
      </c>
      <c r="T220" s="64">
        <f t="shared" si="315"/>
        <v>1</v>
      </c>
      <c r="U220" s="64">
        <f t="shared" si="316"/>
        <v>2500</v>
      </c>
      <c r="V220" s="64">
        <f t="shared" si="317"/>
        <v>2500</v>
      </c>
      <c r="W220" s="64">
        <f t="shared" si="318"/>
        <v>487</v>
      </c>
      <c r="X220" s="64">
        <f t="shared" si="319"/>
        <v>487</v>
      </c>
      <c r="Y220" s="64"/>
      <c r="Z220" s="64">
        <f t="shared" ref="Z220:Z231" si="325">X220+Y220</f>
        <v>487</v>
      </c>
      <c r="AA220" s="83">
        <v>44378</v>
      </c>
      <c r="AB220" s="83">
        <v>44774</v>
      </c>
      <c r="AC220" s="64"/>
    </row>
    <row r="221" s="42" customFormat="true" ht="25.5" spans="1:29">
      <c r="A221" s="64">
        <v>1</v>
      </c>
      <c r="B221" s="65" t="s">
        <v>580</v>
      </c>
      <c r="C221" s="66" t="s">
        <v>581</v>
      </c>
      <c r="D221" s="65" t="s">
        <v>81</v>
      </c>
      <c r="E221" s="65" t="s">
        <v>582</v>
      </c>
      <c r="F221" s="65" t="s">
        <v>583</v>
      </c>
      <c r="G221" s="64">
        <v>6012</v>
      </c>
      <c r="H221" s="64">
        <v>100</v>
      </c>
      <c r="I221" s="64">
        <v>200</v>
      </c>
      <c r="J221" s="64">
        <v>6012</v>
      </c>
      <c r="K221" s="64">
        <v>18</v>
      </c>
      <c r="L221" s="64">
        <v>18</v>
      </c>
      <c r="M221" s="64">
        <v>540</v>
      </c>
      <c r="N221" s="64">
        <v>300</v>
      </c>
      <c r="O221" s="64">
        <v>300</v>
      </c>
      <c r="P221" s="64"/>
      <c r="Q221" s="64"/>
      <c r="R221" s="64"/>
      <c r="S221" s="64">
        <f t="shared" si="324"/>
        <v>0.1946</v>
      </c>
      <c r="T221" s="64">
        <f t="shared" si="315"/>
        <v>0.4</v>
      </c>
      <c r="U221" s="64">
        <f t="shared" si="316"/>
        <v>3200</v>
      </c>
      <c r="V221" s="64">
        <f t="shared" si="317"/>
        <v>3200</v>
      </c>
      <c r="W221" s="64">
        <f t="shared" si="318"/>
        <v>249</v>
      </c>
      <c r="X221" s="64">
        <f t="shared" si="319"/>
        <v>249</v>
      </c>
      <c r="Y221" s="64"/>
      <c r="Z221" s="64">
        <f t="shared" si="325"/>
        <v>249</v>
      </c>
      <c r="AA221" s="126">
        <v>44621</v>
      </c>
      <c r="AB221" s="126">
        <v>44896</v>
      </c>
      <c r="AC221" s="64"/>
    </row>
    <row r="222" s="42" customFormat="true" ht="25.5" spans="1:29">
      <c r="A222" s="64">
        <v>2</v>
      </c>
      <c r="B222" s="65" t="s">
        <v>584</v>
      </c>
      <c r="C222" s="66" t="s">
        <v>585</v>
      </c>
      <c r="D222" s="65" t="s">
        <v>81</v>
      </c>
      <c r="E222" s="65" t="s">
        <v>586</v>
      </c>
      <c r="F222" s="65" t="s">
        <v>587</v>
      </c>
      <c r="G222" s="64">
        <v>3001.87</v>
      </c>
      <c r="H222" s="64">
        <v>100</v>
      </c>
      <c r="I222" s="64">
        <v>200</v>
      </c>
      <c r="J222" s="64">
        <v>3001.87</v>
      </c>
      <c r="K222" s="64">
        <v>9</v>
      </c>
      <c r="L222" s="64">
        <v>9</v>
      </c>
      <c r="M222" s="64">
        <v>270</v>
      </c>
      <c r="N222" s="64">
        <v>300</v>
      </c>
      <c r="O222" s="64">
        <v>300</v>
      </c>
      <c r="P222" s="64"/>
      <c r="Q222" s="64"/>
      <c r="R222" s="64"/>
      <c r="S222" s="64">
        <f t="shared" si="324"/>
        <v>0.1946</v>
      </c>
      <c r="T222" s="64">
        <f t="shared" si="315"/>
        <v>0.4</v>
      </c>
      <c r="U222" s="64">
        <f t="shared" si="316"/>
        <v>2500</v>
      </c>
      <c r="V222" s="64">
        <f t="shared" si="317"/>
        <v>2500</v>
      </c>
      <c r="W222" s="64">
        <f t="shared" si="318"/>
        <v>195</v>
      </c>
      <c r="X222" s="64">
        <f t="shared" si="319"/>
        <v>195</v>
      </c>
      <c r="Y222" s="64"/>
      <c r="Z222" s="64">
        <f t="shared" si="325"/>
        <v>195</v>
      </c>
      <c r="AA222" s="126">
        <v>44652</v>
      </c>
      <c r="AB222" s="126">
        <v>45078</v>
      </c>
      <c r="AC222" s="64"/>
    </row>
    <row r="223" s="42" customFormat="true" ht="25.5" spans="1:29">
      <c r="A223" s="64">
        <v>3</v>
      </c>
      <c r="B223" s="65" t="s">
        <v>588</v>
      </c>
      <c r="C223" s="66" t="s">
        <v>589</v>
      </c>
      <c r="D223" s="65" t="s">
        <v>81</v>
      </c>
      <c r="E223" s="65" t="s">
        <v>590</v>
      </c>
      <c r="F223" s="65" t="s">
        <v>591</v>
      </c>
      <c r="G223" s="64">
        <v>4021.06</v>
      </c>
      <c r="H223" s="64">
        <v>100</v>
      </c>
      <c r="I223" s="64">
        <v>200</v>
      </c>
      <c r="J223" s="64">
        <v>4021.06</v>
      </c>
      <c r="K223" s="64">
        <v>12</v>
      </c>
      <c r="L223" s="64">
        <v>12</v>
      </c>
      <c r="M223" s="64">
        <v>360</v>
      </c>
      <c r="N223" s="64">
        <v>300</v>
      </c>
      <c r="O223" s="64">
        <v>300</v>
      </c>
      <c r="P223" s="64"/>
      <c r="Q223" s="64"/>
      <c r="R223" s="64"/>
      <c r="S223" s="64">
        <f t="shared" si="324"/>
        <v>0.1946</v>
      </c>
      <c r="T223" s="64">
        <f t="shared" si="315"/>
        <v>0.4</v>
      </c>
      <c r="U223" s="64">
        <f t="shared" si="316"/>
        <v>3200</v>
      </c>
      <c r="V223" s="64">
        <f t="shared" si="317"/>
        <v>3200</v>
      </c>
      <c r="W223" s="64">
        <f t="shared" si="318"/>
        <v>249</v>
      </c>
      <c r="X223" s="64">
        <f t="shared" si="319"/>
        <v>249</v>
      </c>
      <c r="Y223" s="64"/>
      <c r="Z223" s="64">
        <f t="shared" si="325"/>
        <v>249</v>
      </c>
      <c r="AA223" s="126">
        <v>44652</v>
      </c>
      <c r="AB223" s="126">
        <v>45078</v>
      </c>
      <c r="AC223" s="64"/>
    </row>
    <row r="224" s="42" customFormat="true" ht="25.5" spans="1:29">
      <c r="A224" s="64">
        <v>4</v>
      </c>
      <c r="B224" s="65" t="s">
        <v>580</v>
      </c>
      <c r="C224" s="66" t="s">
        <v>592</v>
      </c>
      <c r="D224" s="65" t="s">
        <v>81</v>
      </c>
      <c r="E224" s="65" t="s">
        <v>593</v>
      </c>
      <c r="F224" s="65" t="s">
        <v>594</v>
      </c>
      <c r="G224" s="64">
        <v>4100.29</v>
      </c>
      <c r="H224" s="64">
        <v>100</v>
      </c>
      <c r="I224" s="64">
        <v>200</v>
      </c>
      <c r="J224" s="64">
        <v>4100.29</v>
      </c>
      <c r="K224" s="64">
        <v>12</v>
      </c>
      <c r="L224" s="64">
        <v>12</v>
      </c>
      <c r="M224" s="64">
        <v>360</v>
      </c>
      <c r="N224" s="64">
        <v>300</v>
      </c>
      <c r="O224" s="64">
        <v>300</v>
      </c>
      <c r="P224" s="64"/>
      <c r="Q224" s="64"/>
      <c r="R224" s="64"/>
      <c r="S224" s="64">
        <f t="shared" si="324"/>
        <v>0.1946</v>
      </c>
      <c r="T224" s="64">
        <f t="shared" si="315"/>
        <v>0.4</v>
      </c>
      <c r="U224" s="64">
        <f t="shared" si="316"/>
        <v>3200</v>
      </c>
      <c r="V224" s="64">
        <f t="shared" si="317"/>
        <v>3200</v>
      </c>
      <c r="W224" s="64">
        <f t="shared" si="318"/>
        <v>249</v>
      </c>
      <c r="X224" s="64">
        <f t="shared" si="319"/>
        <v>249</v>
      </c>
      <c r="Y224" s="64"/>
      <c r="Z224" s="64">
        <f t="shared" si="325"/>
        <v>249</v>
      </c>
      <c r="AA224" s="126">
        <v>44652</v>
      </c>
      <c r="AB224" s="126">
        <v>45139</v>
      </c>
      <c r="AC224" s="64"/>
    </row>
    <row r="225" s="42" customFormat="true" ht="25.5" spans="1:29">
      <c r="A225" s="64">
        <v>5</v>
      </c>
      <c r="B225" s="65" t="s">
        <v>595</v>
      </c>
      <c r="C225" s="66" t="s">
        <v>596</v>
      </c>
      <c r="D225" s="65" t="s">
        <v>81</v>
      </c>
      <c r="E225" s="65" t="s">
        <v>597</v>
      </c>
      <c r="F225" s="65" t="s">
        <v>594</v>
      </c>
      <c r="G225" s="64">
        <v>4005.05</v>
      </c>
      <c r="H225" s="64">
        <v>100</v>
      </c>
      <c r="I225" s="64">
        <v>200</v>
      </c>
      <c r="J225" s="64">
        <v>4005.05</v>
      </c>
      <c r="K225" s="64">
        <v>12</v>
      </c>
      <c r="L225" s="64">
        <v>12</v>
      </c>
      <c r="M225" s="64">
        <v>360</v>
      </c>
      <c r="N225" s="64">
        <v>300</v>
      </c>
      <c r="O225" s="64">
        <v>300</v>
      </c>
      <c r="P225" s="64"/>
      <c r="Q225" s="64"/>
      <c r="R225" s="64"/>
      <c r="S225" s="64">
        <f t="shared" si="324"/>
        <v>0.1946</v>
      </c>
      <c r="T225" s="64">
        <f t="shared" si="315"/>
        <v>0.4</v>
      </c>
      <c r="U225" s="64">
        <f t="shared" si="316"/>
        <v>3200</v>
      </c>
      <c r="V225" s="64">
        <f t="shared" si="317"/>
        <v>3200</v>
      </c>
      <c r="W225" s="64">
        <f t="shared" si="318"/>
        <v>249</v>
      </c>
      <c r="X225" s="64">
        <f t="shared" si="319"/>
        <v>249</v>
      </c>
      <c r="Y225" s="64"/>
      <c r="Z225" s="64">
        <f t="shared" si="325"/>
        <v>249</v>
      </c>
      <c r="AA225" s="126">
        <v>44652</v>
      </c>
      <c r="AB225" s="126">
        <v>45200</v>
      </c>
      <c r="AC225" s="64"/>
    </row>
    <row r="226" s="42" customFormat="true" ht="25.5" spans="1:29">
      <c r="A226" s="64">
        <v>6</v>
      </c>
      <c r="B226" s="65" t="s">
        <v>598</v>
      </c>
      <c r="C226" s="66" t="s">
        <v>599</v>
      </c>
      <c r="D226" s="65" t="s">
        <v>81</v>
      </c>
      <c r="E226" s="65" t="s">
        <v>600</v>
      </c>
      <c r="F226" s="65" t="s">
        <v>591</v>
      </c>
      <c r="G226" s="64">
        <v>4500</v>
      </c>
      <c r="H226" s="64">
        <v>100</v>
      </c>
      <c r="I226" s="64">
        <v>200</v>
      </c>
      <c r="J226" s="64">
        <v>4500</v>
      </c>
      <c r="K226" s="64">
        <v>12</v>
      </c>
      <c r="L226" s="64">
        <v>12</v>
      </c>
      <c r="M226" s="64">
        <v>360</v>
      </c>
      <c r="N226" s="64">
        <v>300</v>
      </c>
      <c r="O226" s="64">
        <v>300</v>
      </c>
      <c r="P226" s="64"/>
      <c r="Q226" s="64"/>
      <c r="R226" s="64"/>
      <c r="S226" s="64">
        <f t="shared" si="324"/>
        <v>0.1946</v>
      </c>
      <c r="T226" s="64">
        <f t="shared" si="315"/>
        <v>0.4</v>
      </c>
      <c r="U226" s="64">
        <f t="shared" si="316"/>
        <v>3200</v>
      </c>
      <c r="V226" s="64">
        <f t="shared" si="317"/>
        <v>3200</v>
      </c>
      <c r="W226" s="64">
        <f t="shared" si="318"/>
        <v>249</v>
      </c>
      <c r="X226" s="64">
        <f t="shared" si="319"/>
        <v>249</v>
      </c>
      <c r="Y226" s="64"/>
      <c r="Z226" s="64">
        <f t="shared" si="325"/>
        <v>249</v>
      </c>
      <c r="AA226" s="126">
        <v>44682</v>
      </c>
      <c r="AB226" s="126">
        <v>45261</v>
      </c>
      <c r="AC226" s="64"/>
    </row>
    <row r="227" s="42" customFormat="true" ht="25.5" spans="1:29">
      <c r="A227" s="64">
        <v>1</v>
      </c>
      <c r="B227" s="65" t="s">
        <v>601</v>
      </c>
      <c r="C227" s="66" t="s">
        <v>602</v>
      </c>
      <c r="D227" s="65" t="s">
        <v>114</v>
      </c>
      <c r="E227" s="65" t="s">
        <v>603</v>
      </c>
      <c r="F227" s="65" t="s">
        <v>604</v>
      </c>
      <c r="G227" s="64">
        <v>4178</v>
      </c>
      <c r="H227" s="86">
        <v>1799.94</v>
      </c>
      <c r="I227" s="64"/>
      <c r="J227" s="64">
        <v>4178</v>
      </c>
      <c r="K227" s="64">
        <v>12</v>
      </c>
      <c r="L227" s="64">
        <v>12</v>
      </c>
      <c r="M227" s="64">
        <v>360</v>
      </c>
      <c r="N227" s="86">
        <v>1799.94</v>
      </c>
      <c r="O227" s="64">
        <v>500</v>
      </c>
      <c r="P227" s="64"/>
      <c r="Q227" s="64">
        <v>100</v>
      </c>
      <c r="R227" s="64">
        <v>1299.94</v>
      </c>
      <c r="S227" s="64">
        <f t="shared" si="324"/>
        <v>0.1946</v>
      </c>
      <c r="T227" s="64">
        <f t="shared" si="315"/>
        <v>0.4</v>
      </c>
      <c r="U227" s="64">
        <f t="shared" si="316"/>
        <v>3200</v>
      </c>
      <c r="V227" s="64">
        <f t="shared" si="317"/>
        <v>3200</v>
      </c>
      <c r="W227" s="64">
        <f t="shared" si="318"/>
        <v>249</v>
      </c>
      <c r="X227" s="64">
        <f t="shared" si="319"/>
        <v>249</v>
      </c>
      <c r="Y227" s="64"/>
      <c r="Z227" s="64">
        <f t="shared" si="325"/>
        <v>249</v>
      </c>
      <c r="AA227" s="83">
        <v>44621</v>
      </c>
      <c r="AB227" s="84" t="s">
        <v>496</v>
      </c>
      <c r="AC227" s="64"/>
    </row>
    <row r="228" s="42" customFormat="true" spans="1:29">
      <c r="A228" s="64">
        <v>1</v>
      </c>
      <c r="B228" s="71" t="s">
        <v>605</v>
      </c>
      <c r="C228" s="65">
        <v>2</v>
      </c>
      <c r="D228" s="65"/>
      <c r="E228" s="65"/>
      <c r="F228" s="65"/>
      <c r="G228" s="64">
        <f t="shared" ref="G228:J228" si="326">SUM(G229:G230)</f>
        <v>9224</v>
      </c>
      <c r="H228" s="64">
        <f t="shared" si="326"/>
        <v>5310</v>
      </c>
      <c r="I228" s="64">
        <f t="shared" si="326"/>
        <v>960</v>
      </c>
      <c r="J228" s="64">
        <f t="shared" si="326"/>
        <v>9224</v>
      </c>
      <c r="K228" s="64">
        <v>24</v>
      </c>
      <c r="L228" s="64">
        <f t="shared" ref="L228:R228" si="327">SUM(L229:L230)</f>
        <v>24</v>
      </c>
      <c r="M228" s="64">
        <f t="shared" si="327"/>
        <v>720</v>
      </c>
      <c r="N228" s="64">
        <f t="shared" si="327"/>
        <v>6270</v>
      </c>
      <c r="O228" s="64">
        <f t="shared" si="327"/>
        <v>5016</v>
      </c>
      <c r="P228" s="64">
        <f t="shared" si="327"/>
        <v>0</v>
      </c>
      <c r="Q228" s="64">
        <f t="shared" si="327"/>
        <v>1254</v>
      </c>
      <c r="R228" s="64">
        <f t="shared" si="327"/>
        <v>0</v>
      </c>
      <c r="S228" s="64">
        <f>VLOOKUP(B228,[1]补助标准!B:L,7,FALSE)</f>
        <v>0.1946</v>
      </c>
      <c r="T228" s="64"/>
      <c r="U228" s="64"/>
      <c r="V228" s="64"/>
      <c r="W228" s="64">
        <f>SUM(W229:W230)</f>
        <v>1246</v>
      </c>
      <c r="X228" s="64">
        <f>SUM(X229:X230)</f>
        <v>1246</v>
      </c>
      <c r="Y228" s="64"/>
      <c r="Z228" s="82">
        <f t="shared" si="325"/>
        <v>1246</v>
      </c>
      <c r="AA228" s="64"/>
      <c r="AB228" s="64"/>
      <c r="AC228" s="64"/>
    </row>
    <row r="229" s="42" customFormat="true" ht="63.75" spans="1:29">
      <c r="A229" s="64">
        <v>1</v>
      </c>
      <c r="B229" s="65" t="s">
        <v>606</v>
      </c>
      <c r="C229" s="66" t="s">
        <v>607</v>
      </c>
      <c r="D229" s="65" t="s">
        <v>72</v>
      </c>
      <c r="E229" s="100" t="s">
        <v>608</v>
      </c>
      <c r="F229" s="65" t="s">
        <v>609</v>
      </c>
      <c r="G229" s="64">
        <v>4974</v>
      </c>
      <c r="H229" s="64">
        <v>2730</v>
      </c>
      <c r="I229" s="64">
        <v>480</v>
      </c>
      <c r="J229" s="64">
        <v>4974</v>
      </c>
      <c r="K229" s="64">
        <v>12</v>
      </c>
      <c r="L229" s="64">
        <v>12</v>
      </c>
      <c r="M229" s="64">
        <v>360</v>
      </c>
      <c r="N229" s="64">
        <v>3210</v>
      </c>
      <c r="O229" s="64">
        <v>2568</v>
      </c>
      <c r="P229" s="64">
        <v>0</v>
      </c>
      <c r="Q229" s="64">
        <v>642</v>
      </c>
      <c r="R229" s="64">
        <v>0</v>
      </c>
      <c r="S229" s="64">
        <f>S228</f>
        <v>0.1946</v>
      </c>
      <c r="T229" s="64">
        <f t="shared" ref="T229:T240" si="328">IF(D229="扶持",0.4,(IF(D229="新建",1,IF(D229="改建",0.45,IF(D229="扩建",0.6,IF(D229="配建",0.4,0))))))</f>
        <v>1</v>
      </c>
      <c r="U229" s="64">
        <f t="shared" ref="U229:U240" si="329">IF(L229&gt;=12,3200,IF(L229&gt;=9,2500,IF(L229&gt;=6,1800,1200)))</f>
        <v>3200</v>
      </c>
      <c r="V229" s="64">
        <f t="shared" ref="V229:V240" si="330">ROUND(MIN(G229,U229),0)</f>
        <v>3200</v>
      </c>
      <c r="W229" s="64">
        <f t="shared" ref="W229:W232" si="331">ROUND(S229*V229*T229,0)</f>
        <v>623</v>
      </c>
      <c r="X229" s="64">
        <f t="shared" ref="X229:X240" si="332">MIN(W229,O229)</f>
        <v>623</v>
      </c>
      <c r="Y229" s="64"/>
      <c r="Z229" s="64">
        <f t="shared" si="325"/>
        <v>623</v>
      </c>
      <c r="AA229" s="83">
        <v>44805</v>
      </c>
      <c r="AB229" s="83">
        <v>45139</v>
      </c>
      <c r="AC229" s="64"/>
    </row>
    <row r="230" s="42" customFormat="true" ht="63.75" spans="1:29">
      <c r="A230" s="64">
        <v>2</v>
      </c>
      <c r="B230" s="65" t="s">
        <v>606</v>
      </c>
      <c r="C230" s="66" t="s">
        <v>610</v>
      </c>
      <c r="D230" s="65" t="s">
        <v>72</v>
      </c>
      <c r="E230" s="100" t="s">
        <v>611</v>
      </c>
      <c r="F230" s="65" t="s">
        <v>612</v>
      </c>
      <c r="G230" s="64">
        <v>4250</v>
      </c>
      <c r="H230" s="64">
        <v>2580</v>
      </c>
      <c r="I230" s="64">
        <v>480</v>
      </c>
      <c r="J230" s="64">
        <v>4250</v>
      </c>
      <c r="K230" s="64">
        <v>12</v>
      </c>
      <c r="L230" s="64">
        <v>12</v>
      </c>
      <c r="M230" s="64">
        <v>360</v>
      </c>
      <c r="N230" s="64">
        <v>3060</v>
      </c>
      <c r="O230" s="64">
        <v>2448</v>
      </c>
      <c r="P230" s="64">
        <v>0</v>
      </c>
      <c r="Q230" s="64">
        <v>612</v>
      </c>
      <c r="R230" s="64">
        <v>0</v>
      </c>
      <c r="S230" s="64">
        <f>S228</f>
        <v>0.1946</v>
      </c>
      <c r="T230" s="64">
        <f t="shared" si="328"/>
        <v>1</v>
      </c>
      <c r="U230" s="64">
        <f t="shared" si="329"/>
        <v>3200</v>
      </c>
      <c r="V230" s="64">
        <f t="shared" si="330"/>
        <v>3200</v>
      </c>
      <c r="W230" s="64">
        <f t="shared" si="331"/>
        <v>623</v>
      </c>
      <c r="X230" s="64">
        <f t="shared" si="332"/>
        <v>623</v>
      </c>
      <c r="Y230" s="64"/>
      <c r="Z230" s="64">
        <f t="shared" si="325"/>
        <v>623</v>
      </c>
      <c r="AA230" s="83">
        <v>44805</v>
      </c>
      <c r="AB230" s="83">
        <v>45139</v>
      </c>
      <c r="AC230" s="64"/>
    </row>
    <row r="231" s="42" customFormat="true" spans="1:29">
      <c r="A231" s="64">
        <v>1</v>
      </c>
      <c r="B231" s="71" t="s">
        <v>613</v>
      </c>
      <c r="C231" s="65">
        <v>9</v>
      </c>
      <c r="D231" s="65"/>
      <c r="E231" s="65"/>
      <c r="F231" s="65"/>
      <c r="G231" s="64">
        <f t="shared" ref="G231:J231" si="333">SUM(G232:G240)</f>
        <v>23000</v>
      </c>
      <c r="H231" s="64">
        <f t="shared" si="333"/>
        <v>7030</v>
      </c>
      <c r="I231" s="64">
        <f t="shared" si="333"/>
        <v>1330</v>
      </c>
      <c r="J231" s="64">
        <f t="shared" si="333"/>
        <v>33900</v>
      </c>
      <c r="K231" s="64">
        <v>87</v>
      </c>
      <c r="L231" s="64">
        <f t="shared" ref="L231:R231" si="334">SUM(L232:L240)</f>
        <v>78</v>
      </c>
      <c r="M231" s="64">
        <f t="shared" si="334"/>
        <v>2340</v>
      </c>
      <c r="N231" s="64">
        <f t="shared" si="334"/>
        <v>8360</v>
      </c>
      <c r="O231" s="64">
        <f t="shared" si="334"/>
        <v>6688</v>
      </c>
      <c r="P231" s="64">
        <f t="shared" si="334"/>
        <v>0</v>
      </c>
      <c r="Q231" s="64">
        <f t="shared" si="334"/>
        <v>1672</v>
      </c>
      <c r="R231" s="64">
        <f t="shared" si="334"/>
        <v>0</v>
      </c>
      <c r="S231" s="64">
        <f>VLOOKUP(B231,[1]补助标准!B:L,7,FALSE)</f>
        <v>0.1946</v>
      </c>
      <c r="T231" s="64"/>
      <c r="U231" s="64"/>
      <c r="V231" s="64"/>
      <c r="W231" s="64">
        <f>SUM(W232:W240)</f>
        <v>3489</v>
      </c>
      <c r="X231" s="64">
        <f>SUM(X232:X240)</f>
        <v>3402</v>
      </c>
      <c r="Y231" s="64"/>
      <c r="Z231" s="82">
        <f t="shared" si="325"/>
        <v>3402</v>
      </c>
      <c r="AA231" s="64"/>
      <c r="AB231" s="64"/>
      <c r="AC231" s="64"/>
    </row>
    <row r="232" s="42" customFormat="true" ht="25.5" spans="1:29">
      <c r="A232" s="64">
        <v>1</v>
      </c>
      <c r="B232" s="65" t="s">
        <v>614</v>
      </c>
      <c r="C232" s="66" t="s">
        <v>615</v>
      </c>
      <c r="D232" s="65" t="s">
        <v>72</v>
      </c>
      <c r="E232" s="65" t="s">
        <v>616</v>
      </c>
      <c r="F232" s="65" t="s">
        <v>617</v>
      </c>
      <c r="G232" s="64">
        <v>4200</v>
      </c>
      <c r="H232" s="64">
        <v>1300</v>
      </c>
      <c r="I232" s="64">
        <v>200</v>
      </c>
      <c r="J232" s="64">
        <v>4200</v>
      </c>
      <c r="K232" s="64">
        <v>12</v>
      </c>
      <c r="L232" s="64">
        <v>12</v>
      </c>
      <c r="M232" s="64">
        <v>360</v>
      </c>
      <c r="N232" s="64">
        <f t="shared" ref="N232:N240" si="335">SUM(O232:R232)</f>
        <v>1500</v>
      </c>
      <c r="O232" s="64">
        <v>1200</v>
      </c>
      <c r="P232" s="64"/>
      <c r="Q232" s="64">
        <v>300</v>
      </c>
      <c r="R232" s="64"/>
      <c r="S232" s="64">
        <f t="shared" ref="S232:S240" si="336">$S$231</f>
        <v>0.1946</v>
      </c>
      <c r="T232" s="64">
        <f t="shared" si="328"/>
        <v>1</v>
      </c>
      <c r="U232" s="64">
        <f t="shared" si="329"/>
        <v>3200</v>
      </c>
      <c r="V232" s="64">
        <f t="shared" si="330"/>
        <v>3200</v>
      </c>
      <c r="W232" s="64">
        <f t="shared" si="331"/>
        <v>623</v>
      </c>
      <c r="X232" s="64">
        <f t="shared" si="332"/>
        <v>623</v>
      </c>
      <c r="Y232" s="64"/>
      <c r="Z232" s="64">
        <f t="shared" ref="Z232:Z286" si="337">X232+Y232</f>
        <v>623</v>
      </c>
      <c r="AA232" s="83">
        <v>44774</v>
      </c>
      <c r="AB232" s="83">
        <v>45139</v>
      </c>
      <c r="AC232" s="64"/>
    </row>
    <row r="233" s="42" customFormat="true" ht="25.5" spans="1:29">
      <c r="A233" s="64">
        <v>2</v>
      </c>
      <c r="B233" s="65" t="s">
        <v>618</v>
      </c>
      <c r="C233" s="66" t="s">
        <v>619</v>
      </c>
      <c r="D233" s="65" t="s">
        <v>72</v>
      </c>
      <c r="E233" s="128" t="s">
        <v>620</v>
      </c>
      <c r="F233" s="65" t="s">
        <v>617</v>
      </c>
      <c r="G233" s="64">
        <v>2300</v>
      </c>
      <c r="H233" s="64">
        <v>690</v>
      </c>
      <c r="I233" s="64">
        <v>150</v>
      </c>
      <c r="J233" s="64">
        <v>2300</v>
      </c>
      <c r="K233" s="64">
        <v>9</v>
      </c>
      <c r="L233" s="64">
        <v>9</v>
      </c>
      <c r="M233" s="64">
        <v>270</v>
      </c>
      <c r="N233" s="64">
        <f t="shared" si="335"/>
        <v>840</v>
      </c>
      <c r="O233" s="64">
        <v>672</v>
      </c>
      <c r="P233" s="64"/>
      <c r="Q233" s="64">
        <v>168</v>
      </c>
      <c r="R233" s="64"/>
      <c r="S233" s="64">
        <f t="shared" si="336"/>
        <v>0.1946</v>
      </c>
      <c r="T233" s="64">
        <f t="shared" si="328"/>
        <v>1</v>
      </c>
      <c r="U233" s="64">
        <f t="shared" si="329"/>
        <v>2500</v>
      </c>
      <c r="V233" s="64">
        <f t="shared" si="330"/>
        <v>2300</v>
      </c>
      <c r="W233" s="64">
        <f>SUM(W234:W236)</f>
        <v>759</v>
      </c>
      <c r="X233" s="64">
        <f t="shared" si="332"/>
        <v>672</v>
      </c>
      <c r="Y233" s="64"/>
      <c r="Z233" s="64">
        <f t="shared" si="337"/>
        <v>672</v>
      </c>
      <c r="AA233" s="83">
        <v>44774</v>
      </c>
      <c r="AB233" s="83">
        <v>45139</v>
      </c>
      <c r="AC233" s="64"/>
    </row>
    <row r="234" s="42" customFormat="true" ht="25.5" spans="1:29">
      <c r="A234" s="64">
        <v>3</v>
      </c>
      <c r="B234" s="65" t="s">
        <v>621</v>
      </c>
      <c r="C234" s="66" t="s">
        <v>622</v>
      </c>
      <c r="D234" s="65" t="s">
        <v>72</v>
      </c>
      <c r="E234" s="128" t="s">
        <v>623</v>
      </c>
      <c r="F234" s="65" t="s">
        <v>617</v>
      </c>
      <c r="G234" s="64">
        <v>2200</v>
      </c>
      <c r="H234" s="64">
        <v>660</v>
      </c>
      <c r="I234" s="64">
        <v>100</v>
      </c>
      <c r="J234" s="64">
        <v>2200</v>
      </c>
      <c r="K234" s="64">
        <v>6</v>
      </c>
      <c r="L234" s="64">
        <v>6</v>
      </c>
      <c r="M234" s="64">
        <v>180</v>
      </c>
      <c r="N234" s="64">
        <f t="shared" si="335"/>
        <v>760</v>
      </c>
      <c r="O234" s="64">
        <v>608</v>
      </c>
      <c r="P234" s="64"/>
      <c r="Q234" s="64">
        <v>152</v>
      </c>
      <c r="R234" s="64"/>
      <c r="S234" s="64">
        <f t="shared" si="336"/>
        <v>0.1946</v>
      </c>
      <c r="T234" s="64">
        <f t="shared" si="328"/>
        <v>1</v>
      </c>
      <c r="U234" s="64">
        <f t="shared" si="329"/>
        <v>1800</v>
      </c>
      <c r="V234" s="64">
        <f t="shared" si="330"/>
        <v>1800</v>
      </c>
      <c r="W234" s="64">
        <f t="shared" ref="W234:W240" si="338">ROUND(S234*V234*T234,0)</f>
        <v>350</v>
      </c>
      <c r="X234" s="64">
        <f t="shared" si="332"/>
        <v>350</v>
      </c>
      <c r="Y234" s="64"/>
      <c r="Z234" s="64">
        <f t="shared" si="337"/>
        <v>350</v>
      </c>
      <c r="AA234" s="83">
        <v>44774</v>
      </c>
      <c r="AB234" s="83">
        <v>45139</v>
      </c>
      <c r="AC234" s="64"/>
    </row>
    <row r="235" s="42" customFormat="true" spans="1:29">
      <c r="A235" s="64">
        <v>1</v>
      </c>
      <c r="B235" s="65" t="s">
        <v>624</v>
      </c>
      <c r="C235" s="66" t="s">
        <v>625</v>
      </c>
      <c r="D235" s="65" t="s">
        <v>61</v>
      </c>
      <c r="E235" s="65"/>
      <c r="F235" s="65" t="s">
        <v>626</v>
      </c>
      <c r="G235" s="64">
        <v>2300</v>
      </c>
      <c r="H235" s="64">
        <v>690</v>
      </c>
      <c r="I235" s="64">
        <v>150</v>
      </c>
      <c r="J235" s="64">
        <v>4200</v>
      </c>
      <c r="K235" s="64">
        <v>9</v>
      </c>
      <c r="L235" s="64">
        <f t="shared" ref="L235:L240" si="339">M235/30</f>
        <v>9</v>
      </c>
      <c r="M235" s="64">
        <v>270</v>
      </c>
      <c r="N235" s="64">
        <f t="shared" si="335"/>
        <v>840</v>
      </c>
      <c r="O235" s="64">
        <v>672</v>
      </c>
      <c r="P235" s="64"/>
      <c r="Q235" s="64">
        <v>168</v>
      </c>
      <c r="R235" s="64"/>
      <c r="S235" s="64">
        <f t="shared" si="336"/>
        <v>0.1946</v>
      </c>
      <c r="T235" s="64">
        <f t="shared" si="328"/>
        <v>0.6</v>
      </c>
      <c r="U235" s="64">
        <f t="shared" si="329"/>
        <v>2500</v>
      </c>
      <c r="V235" s="64">
        <f t="shared" si="330"/>
        <v>2300</v>
      </c>
      <c r="W235" s="64">
        <f t="shared" si="338"/>
        <v>269</v>
      </c>
      <c r="X235" s="64">
        <f t="shared" si="332"/>
        <v>269</v>
      </c>
      <c r="Y235" s="64"/>
      <c r="Z235" s="64">
        <f t="shared" si="337"/>
        <v>269</v>
      </c>
      <c r="AA235" s="83">
        <v>44774</v>
      </c>
      <c r="AB235" s="83">
        <v>45139</v>
      </c>
      <c r="AC235" s="64"/>
    </row>
    <row r="236" s="42" customFormat="true" ht="25.5" spans="1:29">
      <c r="A236" s="64">
        <v>2</v>
      </c>
      <c r="B236" s="65" t="s">
        <v>627</v>
      </c>
      <c r="C236" s="66" t="s">
        <v>298</v>
      </c>
      <c r="D236" s="65" t="s">
        <v>65</v>
      </c>
      <c r="E236" s="65"/>
      <c r="F236" s="65" t="s">
        <v>626</v>
      </c>
      <c r="G236" s="64">
        <v>1600</v>
      </c>
      <c r="H236" s="64">
        <v>320</v>
      </c>
      <c r="I236" s="64">
        <v>80</v>
      </c>
      <c r="J236" s="64">
        <v>4200</v>
      </c>
      <c r="K236" s="64">
        <v>6</v>
      </c>
      <c r="L236" s="64">
        <f t="shared" si="339"/>
        <v>6</v>
      </c>
      <c r="M236" s="64">
        <v>180</v>
      </c>
      <c r="N236" s="64">
        <f t="shared" si="335"/>
        <v>400</v>
      </c>
      <c r="O236" s="64">
        <v>320</v>
      </c>
      <c r="P236" s="64"/>
      <c r="Q236" s="64">
        <v>80</v>
      </c>
      <c r="R236" s="64"/>
      <c r="S236" s="64">
        <f t="shared" si="336"/>
        <v>0.1946</v>
      </c>
      <c r="T236" s="64">
        <f t="shared" si="328"/>
        <v>0.45</v>
      </c>
      <c r="U236" s="64">
        <f t="shared" si="329"/>
        <v>1800</v>
      </c>
      <c r="V236" s="64">
        <f t="shared" si="330"/>
        <v>1600</v>
      </c>
      <c r="W236" s="64">
        <f t="shared" si="338"/>
        <v>140</v>
      </c>
      <c r="X236" s="64">
        <f t="shared" si="332"/>
        <v>140</v>
      </c>
      <c r="Y236" s="64"/>
      <c r="Z236" s="64">
        <f t="shared" si="337"/>
        <v>140</v>
      </c>
      <c r="AA236" s="83">
        <v>44774</v>
      </c>
      <c r="AB236" s="83">
        <v>45139</v>
      </c>
      <c r="AC236" s="64"/>
    </row>
    <row r="237" s="46" customFormat="true" ht="12.75" spans="1:29">
      <c r="A237" s="67">
        <v>3</v>
      </c>
      <c r="B237" s="68" t="s">
        <v>628</v>
      </c>
      <c r="C237" s="69" t="s">
        <v>629</v>
      </c>
      <c r="D237" s="68" t="s">
        <v>61</v>
      </c>
      <c r="E237" s="68"/>
      <c r="F237" s="68" t="s">
        <v>626</v>
      </c>
      <c r="G237" s="67">
        <v>2300</v>
      </c>
      <c r="H237" s="67">
        <v>690</v>
      </c>
      <c r="I237" s="67">
        <v>150</v>
      </c>
      <c r="J237" s="67">
        <v>4200</v>
      </c>
      <c r="K237" s="67">
        <v>12</v>
      </c>
      <c r="L237" s="67">
        <v>9</v>
      </c>
      <c r="M237" s="67">
        <v>270</v>
      </c>
      <c r="N237" s="67">
        <f t="shared" si="335"/>
        <v>840</v>
      </c>
      <c r="O237" s="67">
        <v>672</v>
      </c>
      <c r="P237" s="67"/>
      <c r="Q237" s="67">
        <v>168</v>
      </c>
      <c r="R237" s="67"/>
      <c r="S237" s="64">
        <f t="shared" si="336"/>
        <v>0.1946</v>
      </c>
      <c r="T237" s="64">
        <f t="shared" si="328"/>
        <v>0.6</v>
      </c>
      <c r="U237" s="64">
        <f t="shared" si="329"/>
        <v>2500</v>
      </c>
      <c r="V237" s="64">
        <f t="shared" si="330"/>
        <v>2300</v>
      </c>
      <c r="W237" s="64">
        <f t="shared" si="338"/>
        <v>269</v>
      </c>
      <c r="X237" s="64">
        <f t="shared" si="332"/>
        <v>269</v>
      </c>
      <c r="Y237" s="64"/>
      <c r="Z237" s="64">
        <f t="shared" si="337"/>
        <v>269</v>
      </c>
      <c r="AA237" s="129">
        <v>44774</v>
      </c>
      <c r="AB237" s="129">
        <v>45139</v>
      </c>
      <c r="AC237" s="67"/>
    </row>
    <row r="238" s="46" customFormat="true" ht="12.75" spans="1:29">
      <c r="A238" s="67">
        <v>4</v>
      </c>
      <c r="B238" s="68" t="s">
        <v>630</v>
      </c>
      <c r="C238" s="69" t="s">
        <v>631</v>
      </c>
      <c r="D238" s="68" t="s">
        <v>61</v>
      </c>
      <c r="E238" s="68"/>
      <c r="F238" s="68" t="s">
        <v>626</v>
      </c>
      <c r="G238" s="67">
        <v>2300</v>
      </c>
      <c r="H238" s="67">
        <v>690</v>
      </c>
      <c r="I238" s="67">
        <v>150</v>
      </c>
      <c r="J238" s="67">
        <v>4200</v>
      </c>
      <c r="K238" s="67">
        <v>12</v>
      </c>
      <c r="L238" s="67">
        <v>9</v>
      </c>
      <c r="M238" s="67">
        <v>270</v>
      </c>
      <c r="N238" s="67">
        <f t="shared" si="335"/>
        <v>840</v>
      </c>
      <c r="O238" s="67">
        <v>672</v>
      </c>
      <c r="P238" s="67"/>
      <c r="Q238" s="67">
        <v>168</v>
      </c>
      <c r="R238" s="67"/>
      <c r="S238" s="64">
        <f t="shared" si="336"/>
        <v>0.1946</v>
      </c>
      <c r="T238" s="64">
        <f t="shared" si="328"/>
        <v>0.6</v>
      </c>
      <c r="U238" s="64">
        <f t="shared" si="329"/>
        <v>2500</v>
      </c>
      <c r="V238" s="64">
        <f t="shared" si="330"/>
        <v>2300</v>
      </c>
      <c r="W238" s="64">
        <f t="shared" si="338"/>
        <v>269</v>
      </c>
      <c r="X238" s="64">
        <f t="shared" si="332"/>
        <v>269</v>
      </c>
      <c r="Y238" s="64"/>
      <c r="Z238" s="64">
        <f t="shared" si="337"/>
        <v>269</v>
      </c>
      <c r="AA238" s="129">
        <v>44774</v>
      </c>
      <c r="AB238" s="129">
        <v>45139</v>
      </c>
      <c r="AC238" s="67"/>
    </row>
    <row r="239" s="46" customFormat="true" ht="12.75" spans="1:29">
      <c r="A239" s="67">
        <v>5</v>
      </c>
      <c r="B239" s="68" t="s">
        <v>632</v>
      </c>
      <c r="C239" s="69" t="s">
        <v>633</v>
      </c>
      <c r="D239" s="68" t="s">
        <v>61</v>
      </c>
      <c r="E239" s="68"/>
      <c r="F239" s="68" t="s">
        <v>626</v>
      </c>
      <c r="G239" s="67">
        <v>1600</v>
      </c>
      <c r="H239" s="67">
        <v>690</v>
      </c>
      <c r="I239" s="67">
        <v>150</v>
      </c>
      <c r="J239" s="67">
        <v>4200</v>
      </c>
      <c r="K239" s="67">
        <v>9</v>
      </c>
      <c r="L239" s="67">
        <v>6</v>
      </c>
      <c r="M239" s="67">
        <v>180</v>
      </c>
      <c r="N239" s="67">
        <f t="shared" si="335"/>
        <v>840</v>
      </c>
      <c r="O239" s="67">
        <v>672</v>
      </c>
      <c r="P239" s="67"/>
      <c r="Q239" s="67">
        <v>168</v>
      </c>
      <c r="R239" s="67"/>
      <c r="S239" s="64">
        <f t="shared" si="336"/>
        <v>0.1946</v>
      </c>
      <c r="T239" s="64">
        <f t="shared" si="328"/>
        <v>0.6</v>
      </c>
      <c r="U239" s="64">
        <f t="shared" si="329"/>
        <v>1800</v>
      </c>
      <c r="V239" s="64">
        <f t="shared" si="330"/>
        <v>1600</v>
      </c>
      <c r="W239" s="64">
        <f t="shared" si="338"/>
        <v>187</v>
      </c>
      <c r="X239" s="64">
        <f t="shared" si="332"/>
        <v>187</v>
      </c>
      <c r="Y239" s="64"/>
      <c r="Z239" s="64">
        <f t="shared" si="337"/>
        <v>187</v>
      </c>
      <c r="AA239" s="129">
        <v>44774</v>
      </c>
      <c r="AB239" s="129">
        <v>45139</v>
      </c>
      <c r="AC239" s="67"/>
    </row>
    <row r="240" s="42" customFormat="true" ht="25.5" spans="1:29">
      <c r="A240" s="64">
        <v>9</v>
      </c>
      <c r="B240" s="68" t="s">
        <v>634</v>
      </c>
      <c r="C240" s="69" t="s">
        <v>635</v>
      </c>
      <c r="D240" s="65" t="s">
        <v>72</v>
      </c>
      <c r="E240" s="68" t="s">
        <v>636</v>
      </c>
      <c r="F240" s="68" t="s">
        <v>617</v>
      </c>
      <c r="G240" s="67">
        <v>4200</v>
      </c>
      <c r="H240" s="67">
        <v>1300</v>
      </c>
      <c r="I240" s="67">
        <v>200</v>
      </c>
      <c r="J240" s="67">
        <v>4200</v>
      </c>
      <c r="K240" s="67">
        <v>12</v>
      </c>
      <c r="L240" s="64">
        <f t="shared" si="339"/>
        <v>12</v>
      </c>
      <c r="M240" s="67">
        <v>360</v>
      </c>
      <c r="N240" s="67">
        <f t="shared" si="335"/>
        <v>1500</v>
      </c>
      <c r="O240" s="67">
        <v>1200</v>
      </c>
      <c r="P240" s="67"/>
      <c r="Q240" s="67">
        <v>300</v>
      </c>
      <c r="R240" s="67"/>
      <c r="S240" s="64">
        <f t="shared" si="336"/>
        <v>0.1946</v>
      </c>
      <c r="T240" s="64">
        <f t="shared" si="328"/>
        <v>1</v>
      </c>
      <c r="U240" s="64">
        <f t="shared" si="329"/>
        <v>3200</v>
      </c>
      <c r="V240" s="64">
        <f t="shared" si="330"/>
        <v>3200</v>
      </c>
      <c r="W240" s="64">
        <f t="shared" si="338"/>
        <v>623</v>
      </c>
      <c r="X240" s="64">
        <f t="shared" si="332"/>
        <v>623</v>
      </c>
      <c r="Y240" s="64"/>
      <c r="Z240" s="64">
        <f t="shared" si="337"/>
        <v>623</v>
      </c>
      <c r="AA240" s="67">
        <v>2022.8</v>
      </c>
      <c r="AB240" s="67">
        <v>2023.8</v>
      </c>
      <c r="AC240" s="67"/>
    </row>
    <row r="241" s="42" customFormat="true" spans="1:29">
      <c r="A241" s="64">
        <v>1</v>
      </c>
      <c r="B241" s="71" t="s">
        <v>637</v>
      </c>
      <c r="C241" s="65">
        <v>4</v>
      </c>
      <c r="D241" s="65"/>
      <c r="E241" s="65"/>
      <c r="F241" s="65"/>
      <c r="G241" s="64">
        <f t="shared" ref="G241:J241" si="340">SUM(G242:G245)</f>
        <v>13519</v>
      </c>
      <c r="H241" s="64">
        <f t="shared" si="340"/>
        <v>1190</v>
      </c>
      <c r="I241" s="64">
        <f t="shared" si="340"/>
        <v>200</v>
      </c>
      <c r="J241" s="64">
        <f t="shared" si="340"/>
        <v>13519</v>
      </c>
      <c r="K241" s="64">
        <v>30</v>
      </c>
      <c r="L241" s="64">
        <f t="shared" ref="L241:R241" si="341">SUM(L242:L245)</f>
        <v>15</v>
      </c>
      <c r="M241" s="64">
        <f t="shared" si="341"/>
        <v>450</v>
      </c>
      <c r="N241" s="64">
        <f t="shared" si="341"/>
        <v>1390</v>
      </c>
      <c r="O241" s="64">
        <f t="shared" si="341"/>
        <v>1048</v>
      </c>
      <c r="P241" s="64">
        <f t="shared" si="341"/>
        <v>0</v>
      </c>
      <c r="Q241" s="64">
        <f t="shared" si="341"/>
        <v>342</v>
      </c>
      <c r="R241" s="64">
        <f t="shared" si="341"/>
        <v>0</v>
      </c>
      <c r="S241" s="64">
        <f>VLOOKUP(B241,[1]补助标准!B:L,7,FALSE)</f>
        <v>0.1946</v>
      </c>
      <c r="T241" s="64"/>
      <c r="U241" s="64"/>
      <c r="V241" s="64"/>
      <c r="W241" s="64">
        <f>SUM(W242:W245)</f>
        <v>665</v>
      </c>
      <c r="X241" s="64">
        <f>SUM(X242:X245)</f>
        <v>665</v>
      </c>
      <c r="Y241" s="64"/>
      <c r="Z241" s="82">
        <f t="shared" si="337"/>
        <v>665</v>
      </c>
      <c r="AA241" s="64"/>
      <c r="AB241" s="64"/>
      <c r="AC241" s="64"/>
    </row>
    <row r="242" s="42" customFormat="true" ht="25.5" spans="1:29">
      <c r="A242" s="64">
        <v>1</v>
      </c>
      <c r="B242" s="65" t="s">
        <v>637</v>
      </c>
      <c r="C242" s="66" t="s">
        <v>638</v>
      </c>
      <c r="D242" s="65" t="s">
        <v>65</v>
      </c>
      <c r="E242" s="65"/>
      <c r="F242" s="65" t="s">
        <v>639</v>
      </c>
      <c r="G242" s="64">
        <v>4075</v>
      </c>
      <c r="H242" s="64">
        <v>120</v>
      </c>
      <c r="I242" s="64">
        <v>30</v>
      </c>
      <c r="J242" s="64">
        <v>4075</v>
      </c>
      <c r="K242" s="64">
        <v>3</v>
      </c>
      <c r="L242" s="64">
        <f t="shared" ref="L242:L245" si="342">M242/30</f>
        <v>3</v>
      </c>
      <c r="M242" s="64">
        <v>90</v>
      </c>
      <c r="N242" s="64">
        <v>150</v>
      </c>
      <c r="O242" s="64">
        <v>120</v>
      </c>
      <c r="P242" s="64"/>
      <c r="Q242" s="64">
        <f>N242-O242</f>
        <v>30</v>
      </c>
      <c r="R242" s="64"/>
      <c r="S242" s="64">
        <f t="shared" ref="S242:S245" si="343">$S$241</f>
        <v>0.1946</v>
      </c>
      <c r="T242" s="64">
        <f t="shared" ref="T242:T245" si="344">IF(D242="扶持",0.4,(IF(D242="新建",1,IF(D242="改建",0.45,IF(D242="扩建",0.6,IF(D242="配建",0.4,0))))))</f>
        <v>0.45</v>
      </c>
      <c r="U242" s="64">
        <f t="shared" ref="U242:U245" si="345">IF(L242&gt;=12,3200,IF(L242&gt;=9,2500,IF(L242&gt;=6,1800,1200)))</f>
        <v>1200</v>
      </c>
      <c r="V242" s="64">
        <f t="shared" ref="V242:V245" si="346">ROUND(MIN(G242,U242),0)</f>
        <v>1200</v>
      </c>
      <c r="W242" s="64">
        <f t="shared" ref="W242:W245" si="347">ROUND(S242*V242*T242,0)</f>
        <v>105</v>
      </c>
      <c r="X242" s="64">
        <f t="shared" ref="X242:X245" si="348">MIN(W242,O242)</f>
        <v>105</v>
      </c>
      <c r="Y242" s="64"/>
      <c r="Z242" s="64">
        <f t="shared" si="337"/>
        <v>105</v>
      </c>
      <c r="AA242" s="83">
        <v>44713</v>
      </c>
      <c r="AB242" s="83">
        <v>44774</v>
      </c>
      <c r="AC242" s="64"/>
    </row>
    <row r="243" s="42" customFormat="true" ht="25.5" spans="1:29">
      <c r="A243" s="64">
        <v>2</v>
      </c>
      <c r="B243" s="65" t="s">
        <v>637</v>
      </c>
      <c r="C243" s="66" t="s">
        <v>640</v>
      </c>
      <c r="D243" s="65" t="s">
        <v>65</v>
      </c>
      <c r="E243" s="65"/>
      <c r="F243" s="65" t="s">
        <v>641</v>
      </c>
      <c r="G243" s="64">
        <v>5968</v>
      </c>
      <c r="H243" s="64">
        <v>120</v>
      </c>
      <c r="I243" s="64">
        <v>30</v>
      </c>
      <c r="J243" s="64">
        <v>5968</v>
      </c>
      <c r="K243" s="64">
        <v>3</v>
      </c>
      <c r="L243" s="64">
        <f t="shared" si="342"/>
        <v>3</v>
      </c>
      <c r="M243" s="64">
        <v>90</v>
      </c>
      <c r="N243" s="64">
        <v>150</v>
      </c>
      <c r="O243" s="64">
        <v>120</v>
      </c>
      <c r="P243" s="64"/>
      <c r="Q243" s="64">
        <f>N243-O243</f>
        <v>30</v>
      </c>
      <c r="R243" s="64"/>
      <c r="S243" s="64">
        <f t="shared" si="343"/>
        <v>0.1946</v>
      </c>
      <c r="T243" s="64">
        <f t="shared" si="344"/>
        <v>0.45</v>
      </c>
      <c r="U243" s="64">
        <f t="shared" si="345"/>
        <v>1200</v>
      </c>
      <c r="V243" s="64">
        <f t="shared" si="346"/>
        <v>1200</v>
      </c>
      <c r="W243" s="64">
        <f t="shared" si="347"/>
        <v>105</v>
      </c>
      <c r="X243" s="64">
        <f t="shared" si="348"/>
        <v>105</v>
      </c>
      <c r="Y243" s="64"/>
      <c r="Z243" s="64">
        <f t="shared" si="337"/>
        <v>105</v>
      </c>
      <c r="AA243" s="83">
        <v>44713</v>
      </c>
      <c r="AB243" s="83">
        <v>44774</v>
      </c>
      <c r="AC243" s="64"/>
    </row>
    <row r="244" s="42" customFormat="true" ht="25.5" spans="1:29">
      <c r="A244" s="64">
        <v>3</v>
      </c>
      <c r="B244" s="65" t="s">
        <v>637</v>
      </c>
      <c r="C244" s="66" t="s">
        <v>642</v>
      </c>
      <c r="D244" s="65" t="s">
        <v>72</v>
      </c>
      <c r="E244" s="65"/>
      <c r="F244" s="65" t="s">
        <v>643</v>
      </c>
      <c r="G244" s="64">
        <v>2012</v>
      </c>
      <c r="H244" s="64">
        <v>750</v>
      </c>
      <c r="I244" s="64">
        <v>80</v>
      </c>
      <c r="J244" s="64">
        <v>2012</v>
      </c>
      <c r="K244" s="64">
        <v>6</v>
      </c>
      <c r="L244" s="64">
        <v>6</v>
      </c>
      <c r="M244" s="64">
        <v>180</v>
      </c>
      <c r="N244" s="64">
        <v>830</v>
      </c>
      <c r="O244" s="64">
        <v>600</v>
      </c>
      <c r="P244" s="64"/>
      <c r="Q244" s="64">
        <v>230</v>
      </c>
      <c r="R244" s="64"/>
      <c r="S244" s="64">
        <f t="shared" si="343"/>
        <v>0.1946</v>
      </c>
      <c r="T244" s="64">
        <f t="shared" si="344"/>
        <v>1</v>
      </c>
      <c r="U244" s="64">
        <f t="shared" si="345"/>
        <v>1800</v>
      </c>
      <c r="V244" s="64">
        <f t="shared" si="346"/>
        <v>1800</v>
      </c>
      <c r="W244" s="64">
        <f t="shared" si="347"/>
        <v>350</v>
      </c>
      <c r="X244" s="64">
        <f t="shared" si="348"/>
        <v>350</v>
      </c>
      <c r="Y244" s="64"/>
      <c r="Z244" s="64">
        <f t="shared" si="337"/>
        <v>350</v>
      </c>
      <c r="AA244" s="83">
        <v>44866</v>
      </c>
      <c r="AB244" s="83">
        <v>45078</v>
      </c>
      <c r="AC244" s="64"/>
    </row>
    <row r="245" s="47" customFormat="true" ht="25.5" spans="1:29">
      <c r="A245" s="67">
        <v>4</v>
      </c>
      <c r="B245" s="68" t="s">
        <v>644</v>
      </c>
      <c r="C245" s="69" t="s">
        <v>645</v>
      </c>
      <c r="D245" s="68" t="s">
        <v>65</v>
      </c>
      <c r="E245" s="68"/>
      <c r="F245" s="68" t="s">
        <v>646</v>
      </c>
      <c r="G245" s="67">
        <v>1464</v>
      </c>
      <c r="H245" s="67">
        <v>200</v>
      </c>
      <c r="I245" s="67">
        <v>60</v>
      </c>
      <c r="J245" s="67">
        <v>1464</v>
      </c>
      <c r="K245" s="64">
        <v>3</v>
      </c>
      <c r="L245" s="64">
        <f t="shared" si="342"/>
        <v>3</v>
      </c>
      <c r="M245" s="67">
        <v>90</v>
      </c>
      <c r="N245" s="67">
        <v>260</v>
      </c>
      <c r="O245" s="67">
        <v>208</v>
      </c>
      <c r="P245" s="67"/>
      <c r="Q245" s="67">
        <v>52</v>
      </c>
      <c r="R245" s="67"/>
      <c r="S245" s="64">
        <f t="shared" si="343"/>
        <v>0.1946</v>
      </c>
      <c r="T245" s="64">
        <f t="shared" si="344"/>
        <v>0.45</v>
      </c>
      <c r="U245" s="64">
        <f t="shared" si="345"/>
        <v>1200</v>
      </c>
      <c r="V245" s="64">
        <f t="shared" si="346"/>
        <v>1200</v>
      </c>
      <c r="W245" s="64">
        <f t="shared" si="347"/>
        <v>105</v>
      </c>
      <c r="X245" s="64">
        <f t="shared" si="348"/>
        <v>105</v>
      </c>
      <c r="Y245" s="64"/>
      <c r="Z245" s="64">
        <f t="shared" si="337"/>
        <v>105</v>
      </c>
      <c r="AA245" s="67">
        <v>2022.7</v>
      </c>
      <c r="AB245" s="67">
        <v>2022.9</v>
      </c>
      <c r="AC245" s="67"/>
    </row>
    <row r="246" s="42" customFormat="true" spans="1:29">
      <c r="A246" s="64">
        <v>1</v>
      </c>
      <c r="B246" s="71" t="s">
        <v>647</v>
      </c>
      <c r="C246" s="65">
        <v>1</v>
      </c>
      <c r="D246" s="65"/>
      <c r="E246" s="65"/>
      <c r="F246" s="65"/>
      <c r="G246" s="64">
        <f t="shared" ref="G246:J246" si="349">SUM(G247)</f>
        <v>4800</v>
      </c>
      <c r="H246" s="64">
        <f t="shared" si="349"/>
        <v>1800</v>
      </c>
      <c r="I246" s="64">
        <f t="shared" si="349"/>
        <v>400</v>
      </c>
      <c r="J246" s="64">
        <f t="shared" si="349"/>
        <v>4800</v>
      </c>
      <c r="K246" s="64">
        <v>12</v>
      </c>
      <c r="L246" s="64">
        <f t="shared" ref="L246:R246" si="350">SUM(L247)</f>
        <v>12</v>
      </c>
      <c r="M246" s="64">
        <f t="shared" si="350"/>
        <v>360</v>
      </c>
      <c r="N246" s="64">
        <f t="shared" si="350"/>
        <v>2200</v>
      </c>
      <c r="O246" s="64">
        <f t="shared" si="350"/>
        <v>1000</v>
      </c>
      <c r="P246" s="64">
        <f t="shared" si="350"/>
        <v>0</v>
      </c>
      <c r="Q246" s="64">
        <f t="shared" si="350"/>
        <v>1200</v>
      </c>
      <c r="R246" s="64">
        <f t="shared" si="350"/>
        <v>0</v>
      </c>
      <c r="S246" s="64">
        <f>VLOOKUP(B246,[1]补助标准!B:L,7,FALSE)</f>
        <v>0.1946</v>
      </c>
      <c r="T246" s="64"/>
      <c r="U246" s="64"/>
      <c r="V246" s="64"/>
      <c r="W246" s="64">
        <f>W247</f>
        <v>623</v>
      </c>
      <c r="X246" s="64">
        <f>X247</f>
        <v>623</v>
      </c>
      <c r="Y246" s="64"/>
      <c r="Z246" s="82">
        <f t="shared" si="337"/>
        <v>623</v>
      </c>
      <c r="AA246" s="64"/>
      <c r="AB246" s="64"/>
      <c r="AC246" s="64"/>
    </row>
    <row r="247" s="42" customFormat="true" ht="51" spans="1:29">
      <c r="A247" s="64">
        <v>1</v>
      </c>
      <c r="B247" s="65" t="s">
        <v>648</v>
      </c>
      <c r="C247" s="66" t="s">
        <v>649</v>
      </c>
      <c r="D247" s="65" t="s">
        <v>72</v>
      </c>
      <c r="E247" s="65" t="s">
        <v>650</v>
      </c>
      <c r="F247" s="65" t="s">
        <v>651</v>
      </c>
      <c r="G247" s="64">
        <v>4800</v>
      </c>
      <c r="H247" s="64">
        <v>1800</v>
      </c>
      <c r="I247" s="64">
        <v>400</v>
      </c>
      <c r="J247" s="64">
        <v>4800</v>
      </c>
      <c r="K247" s="64">
        <v>12</v>
      </c>
      <c r="L247" s="64">
        <v>12</v>
      </c>
      <c r="M247" s="64">
        <v>360</v>
      </c>
      <c r="N247" s="64">
        <f>SUM(O247:R247)</f>
        <v>2200</v>
      </c>
      <c r="O247" s="64">
        <v>1000</v>
      </c>
      <c r="P247" s="64">
        <v>0</v>
      </c>
      <c r="Q247" s="64">
        <v>1200</v>
      </c>
      <c r="R247" s="64">
        <v>0</v>
      </c>
      <c r="S247" s="64">
        <f>S246</f>
        <v>0.1946</v>
      </c>
      <c r="T247" s="64">
        <f t="shared" ref="T247:T253" si="351">IF(D247="扶持",0.4,(IF(D247="新建",1,IF(D247="改建",0.45,IF(D247="扩建",0.6,IF(D247="配建",0.4,0))))))</f>
        <v>1</v>
      </c>
      <c r="U247" s="64">
        <f t="shared" ref="U247:U253" si="352">IF(L247&gt;=12,3200,IF(L247&gt;=9,2500,IF(L247&gt;=6,1800,1200)))</f>
        <v>3200</v>
      </c>
      <c r="V247" s="64">
        <f t="shared" ref="V247:V253" si="353">ROUND(MIN(G247,U247),0)</f>
        <v>3200</v>
      </c>
      <c r="W247" s="64">
        <f t="shared" ref="W247:W253" si="354">ROUND(S247*V247*T247,0)</f>
        <v>623</v>
      </c>
      <c r="X247" s="64">
        <f t="shared" ref="X247:X253" si="355">MIN(W247,O247)</f>
        <v>623</v>
      </c>
      <c r="Y247" s="64"/>
      <c r="Z247" s="64">
        <f t="shared" si="337"/>
        <v>623</v>
      </c>
      <c r="AA247" s="83">
        <v>44774</v>
      </c>
      <c r="AB247" s="83">
        <v>45139</v>
      </c>
      <c r="AC247" s="64"/>
    </row>
    <row r="248" s="42" customFormat="true" spans="1:29">
      <c r="A248" s="64">
        <v>1</v>
      </c>
      <c r="B248" s="71" t="s">
        <v>652</v>
      </c>
      <c r="C248" s="65">
        <v>5</v>
      </c>
      <c r="D248" s="65"/>
      <c r="E248" s="65"/>
      <c r="F248" s="65"/>
      <c r="G248" s="64">
        <f t="shared" ref="G248:J248" si="356">SUM(G249:G253)</f>
        <v>13001</v>
      </c>
      <c r="H248" s="64">
        <f t="shared" si="356"/>
        <v>3470</v>
      </c>
      <c r="I248" s="64">
        <f t="shared" si="356"/>
        <v>444</v>
      </c>
      <c r="J248" s="64">
        <f t="shared" si="356"/>
        <v>17977.89</v>
      </c>
      <c r="K248" s="64">
        <v>29</v>
      </c>
      <c r="L248" s="64">
        <f t="shared" ref="L248:R248" si="357">SUM(L249:L253)</f>
        <v>29</v>
      </c>
      <c r="M248" s="64">
        <f t="shared" si="357"/>
        <v>870</v>
      </c>
      <c r="N248" s="64">
        <f t="shared" si="357"/>
        <v>3914</v>
      </c>
      <c r="O248" s="64">
        <f t="shared" si="357"/>
        <v>3000</v>
      </c>
      <c r="P248" s="64">
        <f t="shared" si="357"/>
        <v>0</v>
      </c>
      <c r="Q248" s="64">
        <f t="shared" si="357"/>
        <v>689</v>
      </c>
      <c r="R248" s="64">
        <f t="shared" si="357"/>
        <v>225</v>
      </c>
      <c r="S248" s="64">
        <f>VLOOKUP(B248,[1]补助标准!B:L,7,FALSE)</f>
        <v>0.1946</v>
      </c>
      <c r="T248" s="64"/>
      <c r="U248" s="64"/>
      <c r="V248" s="64"/>
      <c r="W248" s="64">
        <f>SUM(W249:W253)</f>
        <v>1253</v>
      </c>
      <c r="X248" s="64">
        <f>SUM(X249:X253)</f>
        <v>1253</v>
      </c>
      <c r="Y248" s="64"/>
      <c r="Z248" s="82">
        <f t="shared" si="337"/>
        <v>1253</v>
      </c>
      <c r="AA248" s="64"/>
      <c r="AB248" s="64"/>
      <c r="AC248" s="64"/>
    </row>
    <row r="249" s="42" customFormat="true" ht="25.5" spans="1:29">
      <c r="A249" s="64">
        <v>1</v>
      </c>
      <c r="B249" s="65" t="s">
        <v>653</v>
      </c>
      <c r="C249" s="66" t="s">
        <v>654</v>
      </c>
      <c r="D249" s="65" t="s">
        <v>72</v>
      </c>
      <c r="E249" s="65" t="s">
        <v>655</v>
      </c>
      <c r="F249" s="65" t="s">
        <v>656</v>
      </c>
      <c r="G249" s="64">
        <v>3570</v>
      </c>
      <c r="H249" s="64">
        <v>1000</v>
      </c>
      <c r="I249" s="64">
        <v>194</v>
      </c>
      <c r="J249" s="64">
        <v>4209.89</v>
      </c>
      <c r="K249" s="64">
        <v>12</v>
      </c>
      <c r="L249" s="64">
        <v>12</v>
      </c>
      <c r="M249" s="64">
        <v>360</v>
      </c>
      <c r="N249" s="64">
        <v>1194</v>
      </c>
      <c r="O249" s="64">
        <v>1000</v>
      </c>
      <c r="P249" s="64"/>
      <c r="Q249" s="64">
        <v>94</v>
      </c>
      <c r="R249" s="64">
        <v>100</v>
      </c>
      <c r="S249" s="64">
        <f t="shared" ref="S249:S253" si="358">$S$248</f>
        <v>0.1946</v>
      </c>
      <c r="T249" s="64">
        <f t="shared" si="351"/>
        <v>1</v>
      </c>
      <c r="U249" s="64">
        <f t="shared" si="352"/>
        <v>3200</v>
      </c>
      <c r="V249" s="64">
        <f t="shared" si="353"/>
        <v>3200</v>
      </c>
      <c r="W249" s="64">
        <f t="shared" si="354"/>
        <v>623</v>
      </c>
      <c r="X249" s="64">
        <f t="shared" si="355"/>
        <v>623</v>
      </c>
      <c r="Y249" s="64"/>
      <c r="Z249" s="64">
        <f t="shared" si="337"/>
        <v>623</v>
      </c>
      <c r="AA249" s="83">
        <v>44743</v>
      </c>
      <c r="AB249" s="83">
        <v>45139</v>
      </c>
      <c r="AC249" s="64"/>
    </row>
    <row r="250" s="42" customFormat="true" ht="25.5" spans="1:29">
      <c r="A250" s="64">
        <v>1</v>
      </c>
      <c r="B250" s="65" t="s">
        <v>657</v>
      </c>
      <c r="C250" s="66" t="s">
        <v>658</v>
      </c>
      <c r="D250" s="65" t="s">
        <v>61</v>
      </c>
      <c r="E250" s="65" t="s">
        <v>659</v>
      </c>
      <c r="F250" s="65" t="s">
        <v>660</v>
      </c>
      <c r="G250" s="64">
        <v>2970</v>
      </c>
      <c r="H250" s="64">
        <v>600</v>
      </c>
      <c r="I250" s="64"/>
      <c r="J250" s="64">
        <v>2970</v>
      </c>
      <c r="K250" s="64">
        <v>3</v>
      </c>
      <c r="L250" s="64">
        <f t="shared" ref="L250:L253" si="359">M250/30</f>
        <v>3</v>
      </c>
      <c r="M250" s="64">
        <v>90</v>
      </c>
      <c r="N250" s="64">
        <v>600</v>
      </c>
      <c r="O250" s="64">
        <v>500</v>
      </c>
      <c r="P250" s="64"/>
      <c r="Q250" s="64">
        <v>100</v>
      </c>
      <c r="R250" s="64"/>
      <c r="S250" s="64">
        <f t="shared" si="358"/>
        <v>0.1946</v>
      </c>
      <c r="T250" s="64">
        <f t="shared" si="351"/>
        <v>0.6</v>
      </c>
      <c r="U250" s="64">
        <f t="shared" si="352"/>
        <v>1200</v>
      </c>
      <c r="V250" s="64">
        <f t="shared" si="353"/>
        <v>1200</v>
      </c>
      <c r="W250" s="64">
        <f t="shared" si="354"/>
        <v>140</v>
      </c>
      <c r="X250" s="64">
        <f t="shared" si="355"/>
        <v>140</v>
      </c>
      <c r="Y250" s="64"/>
      <c r="Z250" s="64">
        <f t="shared" si="337"/>
        <v>140</v>
      </c>
      <c r="AA250" s="83">
        <v>44593</v>
      </c>
      <c r="AB250" s="83">
        <v>45139</v>
      </c>
      <c r="AC250" s="64"/>
    </row>
    <row r="251" s="42" customFormat="true" ht="25.5" spans="1:29">
      <c r="A251" s="64">
        <v>2</v>
      </c>
      <c r="B251" s="65" t="s">
        <v>661</v>
      </c>
      <c r="C251" s="66" t="s">
        <v>662</v>
      </c>
      <c r="D251" s="65" t="s">
        <v>61</v>
      </c>
      <c r="E251" s="65" t="s">
        <v>663</v>
      </c>
      <c r="F251" s="65" t="s">
        <v>664</v>
      </c>
      <c r="G251" s="64">
        <v>2511</v>
      </c>
      <c r="H251" s="64">
        <v>500</v>
      </c>
      <c r="I251" s="64">
        <v>50</v>
      </c>
      <c r="J251" s="64">
        <v>2780</v>
      </c>
      <c r="K251" s="64">
        <v>6</v>
      </c>
      <c r="L251" s="64">
        <f t="shared" si="359"/>
        <v>6</v>
      </c>
      <c r="M251" s="64">
        <v>180</v>
      </c>
      <c r="N251" s="64">
        <v>550</v>
      </c>
      <c r="O251" s="64">
        <v>400</v>
      </c>
      <c r="P251" s="64"/>
      <c r="Q251" s="64">
        <v>150</v>
      </c>
      <c r="R251" s="64"/>
      <c r="S251" s="64">
        <f t="shared" si="358"/>
        <v>0.1946</v>
      </c>
      <c r="T251" s="64">
        <f t="shared" si="351"/>
        <v>0.6</v>
      </c>
      <c r="U251" s="64">
        <f t="shared" si="352"/>
        <v>1800</v>
      </c>
      <c r="V251" s="64">
        <f t="shared" si="353"/>
        <v>1800</v>
      </c>
      <c r="W251" s="64">
        <f t="shared" si="354"/>
        <v>210</v>
      </c>
      <c r="X251" s="64">
        <f t="shared" si="355"/>
        <v>210</v>
      </c>
      <c r="Y251" s="64"/>
      <c r="Z251" s="64">
        <f t="shared" si="337"/>
        <v>210</v>
      </c>
      <c r="AA251" s="83">
        <v>44562</v>
      </c>
      <c r="AB251" s="83">
        <v>45261</v>
      </c>
      <c r="AC251" s="64"/>
    </row>
    <row r="252" s="42" customFormat="true" ht="25.5" spans="1:29">
      <c r="A252" s="64">
        <v>3</v>
      </c>
      <c r="B252" s="65" t="s">
        <v>665</v>
      </c>
      <c r="C252" s="66" t="s">
        <v>666</v>
      </c>
      <c r="D252" s="65" t="s">
        <v>61</v>
      </c>
      <c r="E252" s="65" t="s">
        <v>667</v>
      </c>
      <c r="F252" s="65" t="s">
        <v>668</v>
      </c>
      <c r="G252" s="64">
        <v>1810</v>
      </c>
      <c r="H252" s="64">
        <v>795</v>
      </c>
      <c r="I252" s="64">
        <v>130</v>
      </c>
      <c r="J252" s="64">
        <v>4768</v>
      </c>
      <c r="K252" s="64">
        <v>4</v>
      </c>
      <c r="L252" s="64">
        <f t="shared" si="359"/>
        <v>4</v>
      </c>
      <c r="M252" s="64">
        <v>120</v>
      </c>
      <c r="N252" s="64">
        <v>925</v>
      </c>
      <c r="O252" s="64">
        <v>600</v>
      </c>
      <c r="P252" s="64"/>
      <c r="Q252" s="64">
        <v>200</v>
      </c>
      <c r="R252" s="64">
        <v>125</v>
      </c>
      <c r="S252" s="64">
        <f t="shared" si="358"/>
        <v>0.1946</v>
      </c>
      <c r="T252" s="64">
        <f t="shared" si="351"/>
        <v>0.6</v>
      </c>
      <c r="U252" s="64">
        <f t="shared" si="352"/>
        <v>1200</v>
      </c>
      <c r="V252" s="64">
        <f t="shared" si="353"/>
        <v>1200</v>
      </c>
      <c r="W252" s="64">
        <f t="shared" si="354"/>
        <v>140</v>
      </c>
      <c r="X252" s="64">
        <f t="shared" si="355"/>
        <v>140</v>
      </c>
      <c r="Y252" s="64"/>
      <c r="Z252" s="64">
        <f t="shared" si="337"/>
        <v>140</v>
      </c>
      <c r="AA252" s="83">
        <v>44743</v>
      </c>
      <c r="AB252" s="83">
        <v>45139</v>
      </c>
      <c r="AC252" s="64"/>
    </row>
    <row r="253" s="42" customFormat="true" ht="25.5" spans="1:29">
      <c r="A253" s="64">
        <v>4</v>
      </c>
      <c r="B253" s="65" t="s">
        <v>669</v>
      </c>
      <c r="C253" s="66" t="s">
        <v>670</v>
      </c>
      <c r="D253" s="65" t="s">
        <v>61</v>
      </c>
      <c r="E253" s="65" t="s">
        <v>671</v>
      </c>
      <c r="F253" s="65" t="s">
        <v>672</v>
      </c>
      <c r="G253" s="64">
        <v>2140</v>
      </c>
      <c r="H253" s="64">
        <v>575</v>
      </c>
      <c r="I253" s="64">
        <v>70</v>
      </c>
      <c r="J253" s="64">
        <v>3250</v>
      </c>
      <c r="K253" s="64">
        <v>4</v>
      </c>
      <c r="L253" s="64">
        <f t="shared" si="359"/>
        <v>4</v>
      </c>
      <c r="M253" s="64">
        <v>120</v>
      </c>
      <c r="N253" s="64">
        <v>645</v>
      </c>
      <c r="O253" s="64">
        <v>500</v>
      </c>
      <c r="P253" s="64"/>
      <c r="Q253" s="64">
        <v>145</v>
      </c>
      <c r="R253" s="64"/>
      <c r="S253" s="64">
        <f t="shared" si="358"/>
        <v>0.1946</v>
      </c>
      <c r="T253" s="64">
        <f t="shared" si="351"/>
        <v>0.6</v>
      </c>
      <c r="U253" s="64">
        <f t="shared" si="352"/>
        <v>1200</v>
      </c>
      <c r="V253" s="64">
        <f t="shared" si="353"/>
        <v>1200</v>
      </c>
      <c r="W253" s="64">
        <f t="shared" si="354"/>
        <v>140</v>
      </c>
      <c r="X253" s="64">
        <f t="shared" si="355"/>
        <v>140</v>
      </c>
      <c r="Y253" s="64"/>
      <c r="Z253" s="64">
        <f t="shared" si="337"/>
        <v>140</v>
      </c>
      <c r="AA253" s="83">
        <v>44743</v>
      </c>
      <c r="AB253" s="83">
        <v>45139</v>
      </c>
      <c r="AC253" s="64"/>
    </row>
    <row r="254" s="42" customFormat="true" spans="1:29">
      <c r="A254" s="64">
        <v>1</v>
      </c>
      <c r="B254" s="71" t="s">
        <v>673</v>
      </c>
      <c r="C254" s="65">
        <v>3</v>
      </c>
      <c r="D254" s="65"/>
      <c r="E254" s="65">
        <f t="shared" ref="E254:J254" si="360">SUM(E255:E257)</f>
        <v>0</v>
      </c>
      <c r="F254" s="65">
        <f t="shared" si="360"/>
        <v>0</v>
      </c>
      <c r="G254" s="64">
        <f t="shared" si="360"/>
        <v>5700</v>
      </c>
      <c r="H254" s="64">
        <f t="shared" si="360"/>
        <v>1635</v>
      </c>
      <c r="I254" s="64">
        <f t="shared" si="360"/>
        <v>355</v>
      </c>
      <c r="J254" s="64">
        <f t="shared" si="360"/>
        <v>9040</v>
      </c>
      <c r="K254" s="64">
        <v>14</v>
      </c>
      <c r="L254" s="64">
        <f t="shared" ref="L254:R254" si="361">SUM(L255:L257)</f>
        <v>14</v>
      </c>
      <c r="M254" s="64">
        <f t="shared" si="361"/>
        <v>420</v>
      </c>
      <c r="N254" s="64">
        <f t="shared" si="361"/>
        <v>1990</v>
      </c>
      <c r="O254" s="64">
        <f t="shared" si="361"/>
        <v>1280</v>
      </c>
      <c r="P254" s="64">
        <f t="shared" si="361"/>
        <v>490</v>
      </c>
      <c r="Q254" s="64">
        <f t="shared" si="361"/>
        <v>140</v>
      </c>
      <c r="R254" s="64">
        <f t="shared" si="361"/>
        <v>80</v>
      </c>
      <c r="S254" s="64">
        <f>VLOOKUP(B254,[1]补助标准!B:L,7,FALSE)</f>
        <v>0.1946</v>
      </c>
      <c r="T254" s="64"/>
      <c r="U254" s="64"/>
      <c r="V254" s="64"/>
      <c r="W254" s="64">
        <f>SUM(W255:W257)</f>
        <v>382</v>
      </c>
      <c r="X254" s="64">
        <f>SUM(X255:X257)</f>
        <v>382</v>
      </c>
      <c r="Y254" s="64"/>
      <c r="Z254" s="82">
        <f t="shared" si="337"/>
        <v>382</v>
      </c>
      <c r="AA254" s="64"/>
      <c r="AB254" s="64"/>
      <c r="AC254" s="64"/>
    </row>
    <row r="255" s="42" customFormat="true" spans="1:29">
      <c r="A255" s="64">
        <v>1</v>
      </c>
      <c r="B255" s="65" t="s">
        <v>674</v>
      </c>
      <c r="C255" s="66" t="s">
        <v>675</v>
      </c>
      <c r="D255" s="65" t="s">
        <v>65</v>
      </c>
      <c r="E255" s="65" t="s">
        <v>676</v>
      </c>
      <c r="F255" s="65" t="s">
        <v>677</v>
      </c>
      <c r="G255" s="64">
        <v>2000</v>
      </c>
      <c r="H255" s="64">
        <v>500</v>
      </c>
      <c r="I255" s="64">
        <v>50</v>
      </c>
      <c r="J255" s="64">
        <v>2000</v>
      </c>
      <c r="K255" s="64">
        <v>3</v>
      </c>
      <c r="L255" s="64">
        <f t="shared" ref="L255:L257" si="362">M255/30</f>
        <v>3</v>
      </c>
      <c r="M255" s="64">
        <v>90</v>
      </c>
      <c r="N255" s="64">
        <v>550</v>
      </c>
      <c r="O255" s="64">
        <v>480</v>
      </c>
      <c r="P255" s="64">
        <v>50</v>
      </c>
      <c r="Q255" s="64">
        <v>20</v>
      </c>
      <c r="R255" s="64"/>
      <c r="S255" s="64">
        <f>S254</f>
        <v>0.1946</v>
      </c>
      <c r="T255" s="64">
        <f t="shared" ref="T255:T257" si="363">IF(D255="扶持",0.4,(IF(D255="新建",1,IF(D255="改建",0.45,IF(D255="扩建",0.6,IF(D255="配建",0.4,0))))))</f>
        <v>0.45</v>
      </c>
      <c r="U255" s="64">
        <f t="shared" ref="U255:U257" si="364">IF(L255&gt;=12,3200,IF(L255&gt;=9,2500,IF(L255&gt;=6,1800,1200)))</f>
        <v>1200</v>
      </c>
      <c r="V255" s="64">
        <f t="shared" ref="V255:V257" si="365">ROUND(MIN(G255,U255),0)</f>
        <v>1200</v>
      </c>
      <c r="W255" s="64">
        <f t="shared" ref="W255:W257" si="366">ROUND(S255*V255*T255,0)</f>
        <v>105</v>
      </c>
      <c r="X255" s="64">
        <f t="shared" ref="X255:X257" si="367">MIN(W255,O255)</f>
        <v>105</v>
      </c>
      <c r="Y255" s="64"/>
      <c r="Z255" s="64">
        <f t="shared" si="337"/>
        <v>105</v>
      </c>
      <c r="AA255" s="83">
        <v>44805</v>
      </c>
      <c r="AB255" s="83">
        <v>44896</v>
      </c>
      <c r="AC255" s="64"/>
    </row>
    <row r="256" s="42" customFormat="true" ht="25.5" spans="1:29">
      <c r="A256" s="64">
        <v>2</v>
      </c>
      <c r="B256" s="65" t="s">
        <v>678</v>
      </c>
      <c r="C256" s="66" t="s">
        <v>679</v>
      </c>
      <c r="D256" s="65" t="s">
        <v>61</v>
      </c>
      <c r="E256" s="65" t="s">
        <v>680</v>
      </c>
      <c r="F256" s="65" t="s">
        <v>309</v>
      </c>
      <c r="G256" s="64">
        <v>500</v>
      </c>
      <c r="H256" s="64">
        <v>175</v>
      </c>
      <c r="I256" s="64">
        <v>105</v>
      </c>
      <c r="J256" s="64">
        <v>2340</v>
      </c>
      <c r="K256" s="64">
        <v>2</v>
      </c>
      <c r="L256" s="64">
        <f t="shared" si="362"/>
        <v>2</v>
      </c>
      <c r="M256" s="64">
        <v>60</v>
      </c>
      <c r="N256" s="64">
        <v>280</v>
      </c>
      <c r="O256" s="64">
        <v>200</v>
      </c>
      <c r="P256" s="64">
        <v>80</v>
      </c>
      <c r="Q256" s="64"/>
      <c r="R256" s="64"/>
      <c r="S256" s="64">
        <f>S254</f>
        <v>0.1946</v>
      </c>
      <c r="T256" s="64">
        <f t="shared" si="363"/>
        <v>0.6</v>
      </c>
      <c r="U256" s="64">
        <f t="shared" si="364"/>
        <v>1200</v>
      </c>
      <c r="V256" s="64">
        <f t="shared" si="365"/>
        <v>500</v>
      </c>
      <c r="W256" s="64">
        <f t="shared" si="366"/>
        <v>58</v>
      </c>
      <c r="X256" s="64">
        <f t="shared" si="367"/>
        <v>58</v>
      </c>
      <c r="Y256" s="64"/>
      <c r="Z256" s="64">
        <f t="shared" si="337"/>
        <v>58</v>
      </c>
      <c r="AA256" s="83">
        <v>44805</v>
      </c>
      <c r="AB256" s="83">
        <v>44896</v>
      </c>
      <c r="AC256" s="64"/>
    </row>
    <row r="257" s="42" customFormat="true" spans="1:29">
      <c r="A257" s="64">
        <v>3</v>
      </c>
      <c r="B257" s="65" t="s">
        <v>681</v>
      </c>
      <c r="C257" s="66" t="s">
        <v>682</v>
      </c>
      <c r="D257" s="65" t="s">
        <v>65</v>
      </c>
      <c r="E257" s="65" t="s">
        <v>676</v>
      </c>
      <c r="F257" s="65" t="s">
        <v>683</v>
      </c>
      <c r="G257" s="64">
        <v>3200</v>
      </c>
      <c r="H257" s="64">
        <v>960</v>
      </c>
      <c r="I257" s="64">
        <v>200</v>
      </c>
      <c r="J257" s="64">
        <v>4700</v>
      </c>
      <c r="K257" s="86">
        <v>9</v>
      </c>
      <c r="L257" s="64">
        <f t="shared" si="362"/>
        <v>9</v>
      </c>
      <c r="M257" s="86">
        <v>270</v>
      </c>
      <c r="N257" s="64">
        <v>1160</v>
      </c>
      <c r="O257" s="64">
        <v>600</v>
      </c>
      <c r="P257" s="64">
        <v>360</v>
      </c>
      <c r="Q257" s="64">
        <v>120</v>
      </c>
      <c r="R257" s="64">
        <v>80</v>
      </c>
      <c r="S257" s="64">
        <f>S254</f>
        <v>0.1946</v>
      </c>
      <c r="T257" s="64">
        <f t="shared" si="363"/>
        <v>0.45</v>
      </c>
      <c r="U257" s="64">
        <f t="shared" si="364"/>
        <v>2500</v>
      </c>
      <c r="V257" s="64">
        <f t="shared" si="365"/>
        <v>2500</v>
      </c>
      <c r="W257" s="64">
        <f t="shared" si="366"/>
        <v>219</v>
      </c>
      <c r="X257" s="64">
        <f t="shared" si="367"/>
        <v>219</v>
      </c>
      <c r="Y257" s="64"/>
      <c r="Z257" s="64">
        <f t="shared" si="337"/>
        <v>219</v>
      </c>
      <c r="AA257" s="83">
        <v>44805</v>
      </c>
      <c r="AB257" s="83">
        <v>44896</v>
      </c>
      <c r="AC257" s="64"/>
    </row>
    <row r="258" s="42" customFormat="true" spans="1:29">
      <c r="A258" s="62"/>
      <c r="B258" s="63" t="s">
        <v>21</v>
      </c>
      <c r="C258" s="63">
        <f>C259+C261+C264+C266+C269+C272+C278+C280</f>
        <v>15</v>
      </c>
      <c r="D258" s="63"/>
      <c r="E258" s="63"/>
      <c r="F258" s="63"/>
      <c r="G258" s="62">
        <f t="shared" ref="G258:R258" si="368">G259+G261+G264+G266+G269+G272+G278+G280</f>
        <v>55162</v>
      </c>
      <c r="H258" s="62">
        <f t="shared" si="368"/>
        <v>18533</v>
      </c>
      <c r="I258" s="62">
        <f t="shared" si="368"/>
        <v>1450</v>
      </c>
      <c r="J258" s="62">
        <f t="shared" si="368"/>
        <v>63264.29</v>
      </c>
      <c r="K258" s="62">
        <f t="shared" si="368"/>
        <v>113</v>
      </c>
      <c r="L258" s="62">
        <f t="shared" si="368"/>
        <v>101</v>
      </c>
      <c r="M258" s="62">
        <f t="shared" si="368"/>
        <v>3090</v>
      </c>
      <c r="N258" s="62">
        <f t="shared" si="368"/>
        <v>19983</v>
      </c>
      <c r="O258" s="62">
        <f t="shared" si="368"/>
        <v>5964</v>
      </c>
      <c r="P258" s="62">
        <f t="shared" si="368"/>
        <v>0</v>
      </c>
      <c r="Q258" s="62">
        <f t="shared" si="368"/>
        <v>10429</v>
      </c>
      <c r="R258" s="62">
        <f t="shared" si="368"/>
        <v>3590</v>
      </c>
      <c r="S258" s="64"/>
      <c r="T258" s="78"/>
      <c r="U258" s="78"/>
      <c r="V258" s="78"/>
      <c r="W258" s="62">
        <f t="shared" ref="W258:Y258" si="369">W259+W261+W264+W266+W269+W272+W278+W280</f>
        <v>3581</v>
      </c>
      <c r="X258" s="62">
        <f t="shared" si="369"/>
        <v>3177</v>
      </c>
      <c r="Y258" s="62">
        <f t="shared" si="369"/>
        <v>1200</v>
      </c>
      <c r="Z258" s="62">
        <f t="shared" si="337"/>
        <v>4377</v>
      </c>
      <c r="AA258" s="62"/>
      <c r="AB258" s="62"/>
      <c r="AC258" s="62"/>
    </row>
    <row r="259" s="42" customFormat="true" spans="1:29">
      <c r="A259" s="64">
        <v>1</v>
      </c>
      <c r="B259" s="71" t="s">
        <v>684</v>
      </c>
      <c r="C259" s="68">
        <v>1</v>
      </c>
      <c r="D259" s="68"/>
      <c r="E259" s="68"/>
      <c r="F259" s="68"/>
      <c r="G259" s="64">
        <f>G260</f>
        <v>6070</v>
      </c>
      <c r="H259" s="64">
        <f>H260</f>
        <v>3500</v>
      </c>
      <c r="I259" s="64"/>
      <c r="J259" s="64">
        <f t="shared" ref="J259:O259" si="370">J260</f>
        <v>7000</v>
      </c>
      <c r="K259" s="67">
        <v>15</v>
      </c>
      <c r="L259" s="67">
        <f t="shared" si="370"/>
        <v>15</v>
      </c>
      <c r="M259" s="64">
        <f t="shared" si="370"/>
        <v>450</v>
      </c>
      <c r="N259" s="64">
        <f t="shared" si="370"/>
        <v>3500</v>
      </c>
      <c r="O259" s="64">
        <f t="shared" si="370"/>
        <v>362</v>
      </c>
      <c r="P259" s="67"/>
      <c r="Q259" s="67">
        <f>Q260</f>
        <v>3138</v>
      </c>
      <c r="R259" s="67"/>
      <c r="S259" s="64">
        <f>VLOOKUP(B259,[1]补助标准!B:L,7,FALSE)</f>
        <v>0.1946</v>
      </c>
      <c r="T259" s="67"/>
      <c r="U259" s="67"/>
      <c r="V259" s="67"/>
      <c r="W259" s="67">
        <f>W260</f>
        <v>623</v>
      </c>
      <c r="X259" s="67">
        <f>X260</f>
        <v>362</v>
      </c>
      <c r="Y259" s="67">
        <f>Y260</f>
        <v>196</v>
      </c>
      <c r="Z259" s="82">
        <f t="shared" si="337"/>
        <v>558</v>
      </c>
      <c r="AA259" s="67"/>
      <c r="AB259" s="67"/>
      <c r="AC259" s="67"/>
    </row>
    <row r="260" s="42" customFormat="true" ht="25.5" spans="1:29">
      <c r="A260" s="67">
        <v>1</v>
      </c>
      <c r="B260" s="68" t="s">
        <v>685</v>
      </c>
      <c r="C260" s="69" t="s">
        <v>686</v>
      </c>
      <c r="D260" s="68" t="s">
        <v>72</v>
      </c>
      <c r="E260" s="68" t="s">
        <v>687</v>
      </c>
      <c r="F260" s="68" t="s">
        <v>688</v>
      </c>
      <c r="G260" s="64">
        <v>6070</v>
      </c>
      <c r="H260" s="64">
        <v>3500</v>
      </c>
      <c r="I260" s="64"/>
      <c r="J260" s="64">
        <v>7000</v>
      </c>
      <c r="K260" s="67">
        <v>15</v>
      </c>
      <c r="L260" s="67">
        <v>15</v>
      </c>
      <c r="M260" s="64">
        <v>450</v>
      </c>
      <c r="N260" s="64">
        <v>3500</v>
      </c>
      <c r="O260" s="64">
        <v>362</v>
      </c>
      <c r="P260" s="67"/>
      <c r="Q260" s="67">
        <v>3138</v>
      </c>
      <c r="R260" s="67"/>
      <c r="S260" s="64">
        <f t="shared" ref="S260:S265" si="371">S259</f>
        <v>0.1946</v>
      </c>
      <c r="T260" s="64">
        <f t="shared" ref="T260:T263" si="372">IF(D260="扶持",0.4,(IF(D260="新建",1,IF(D260="改建",0.45,IF(D260="扩建",0.6,IF(D260="配建",0.4,0))))))</f>
        <v>1</v>
      </c>
      <c r="U260" s="64">
        <f t="shared" ref="U260:U263" si="373">IF(L260&gt;=12,3200,IF(L260&gt;=9,2500,IF(L260&gt;=6,1800,1200)))</f>
        <v>3200</v>
      </c>
      <c r="V260" s="64">
        <f t="shared" ref="V260:V263" si="374">ROUND(MIN(G260,U260),0)</f>
        <v>3200</v>
      </c>
      <c r="W260" s="64">
        <f t="shared" ref="W260:W263" si="375">ROUND(S260*V260*T260,0)</f>
        <v>623</v>
      </c>
      <c r="X260" s="64">
        <f t="shared" ref="X260:X263" si="376">MIN(W260,O260)</f>
        <v>362</v>
      </c>
      <c r="Y260" s="64">
        <v>196</v>
      </c>
      <c r="Z260" s="64">
        <f t="shared" si="337"/>
        <v>558</v>
      </c>
      <c r="AA260" s="132">
        <v>2022.1</v>
      </c>
      <c r="AB260" s="132">
        <v>2024.1</v>
      </c>
      <c r="AC260" s="67"/>
    </row>
    <row r="261" s="42" customFormat="true" spans="1:29">
      <c r="A261" s="64">
        <v>1</v>
      </c>
      <c r="B261" s="71" t="s">
        <v>689</v>
      </c>
      <c r="C261" s="68">
        <v>2</v>
      </c>
      <c r="D261" s="68"/>
      <c r="E261" s="68"/>
      <c r="F261" s="68"/>
      <c r="G261" s="64">
        <f>G262+G263</f>
        <v>10000</v>
      </c>
      <c r="H261" s="64">
        <f>H262+H263</f>
        <v>7000</v>
      </c>
      <c r="I261" s="64"/>
      <c r="J261" s="64">
        <f t="shared" ref="J261:O261" si="377">J262+J263</f>
        <v>10000</v>
      </c>
      <c r="K261" s="67">
        <v>21</v>
      </c>
      <c r="L261" s="67">
        <f t="shared" si="377"/>
        <v>19</v>
      </c>
      <c r="M261" s="64">
        <f t="shared" si="377"/>
        <v>630</v>
      </c>
      <c r="N261" s="64">
        <f t="shared" si="377"/>
        <v>7000</v>
      </c>
      <c r="O261" s="64">
        <f t="shared" si="377"/>
        <v>1140</v>
      </c>
      <c r="P261" s="67"/>
      <c r="Q261" s="67">
        <f>Q262+Q263</f>
        <v>2360</v>
      </c>
      <c r="R261" s="67">
        <f>R262+R263</f>
        <v>3500</v>
      </c>
      <c r="S261" s="64">
        <f>VLOOKUP(B261,[1]补助标准!B:L,7,FALSE)</f>
        <v>0.1946</v>
      </c>
      <c r="T261" s="67"/>
      <c r="U261" s="67"/>
      <c r="V261" s="67"/>
      <c r="W261" s="67">
        <f>W262+W263</f>
        <v>974</v>
      </c>
      <c r="X261" s="67">
        <f>X262+X263</f>
        <v>974</v>
      </c>
      <c r="Y261" s="67">
        <f>Y262+Y263</f>
        <v>350</v>
      </c>
      <c r="Z261" s="82">
        <f t="shared" si="337"/>
        <v>1324</v>
      </c>
      <c r="AA261" s="67"/>
      <c r="AB261" s="67"/>
      <c r="AC261" s="67"/>
    </row>
    <row r="262" s="42" customFormat="true" ht="25.5" spans="1:29">
      <c r="A262" s="67">
        <v>1</v>
      </c>
      <c r="B262" s="68" t="s">
        <v>690</v>
      </c>
      <c r="C262" s="69" t="s">
        <v>691</v>
      </c>
      <c r="D262" s="68" t="s">
        <v>72</v>
      </c>
      <c r="E262" s="68" t="s">
        <v>692</v>
      </c>
      <c r="F262" s="68" t="s">
        <v>688</v>
      </c>
      <c r="G262" s="64">
        <v>5500</v>
      </c>
      <c r="H262" s="64">
        <v>4000</v>
      </c>
      <c r="I262" s="64"/>
      <c r="J262" s="64">
        <v>5500</v>
      </c>
      <c r="K262" s="67">
        <v>12</v>
      </c>
      <c r="L262" s="67">
        <v>10</v>
      </c>
      <c r="M262" s="64">
        <v>360</v>
      </c>
      <c r="N262" s="64">
        <v>4000</v>
      </c>
      <c r="O262" s="64">
        <v>600</v>
      </c>
      <c r="P262" s="67"/>
      <c r="Q262" s="67">
        <v>1400</v>
      </c>
      <c r="R262" s="67">
        <v>2000</v>
      </c>
      <c r="S262" s="64">
        <f t="shared" si="371"/>
        <v>0.1946</v>
      </c>
      <c r="T262" s="64">
        <f t="shared" si="372"/>
        <v>1</v>
      </c>
      <c r="U262" s="64">
        <f t="shared" si="373"/>
        <v>2500</v>
      </c>
      <c r="V262" s="64">
        <f t="shared" si="374"/>
        <v>2500</v>
      </c>
      <c r="W262" s="64">
        <f t="shared" si="375"/>
        <v>487</v>
      </c>
      <c r="X262" s="64">
        <f t="shared" si="376"/>
        <v>487</v>
      </c>
      <c r="Y262" s="64">
        <v>200</v>
      </c>
      <c r="Z262" s="64">
        <f t="shared" si="337"/>
        <v>687</v>
      </c>
      <c r="AA262" s="132">
        <v>2022.1</v>
      </c>
      <c r="AB262" s="132">
        <v>2024.1</v>
      </c>
      <c r="AC262" s="67"/>
    </row>
    <row r="263" s="42" customFormat="true" ht="25.5" spans="1:29">
      <c r="A263" s="67">
        <v>2</v>
      </c>
      <c r="B263" s="68" t="s">
        <v>693</v>
      </c>
      <c r="C263" s="69" t="s">
        <v>694</v>
      </c>
      <c r="D263" s="68" t="s">
        <v>72</v>
      </c>
      <c r="E263" s="68" t="s">
        <v>692</v>
      </c>
      <c r="F263" s="68" t="s">
        <v>688</v>
      </c>
      <c r="G263" s="64">
        <v>4500</v>
      </c>
      <c r="H263" s="64">
        <v>3000</v>
      </c>
      <c r="I263" s="64"/>
      <c r="J263" s="64">
        <v>4500</v>
      </c>
      <c r="K263" s="67">
        <v>9</v>
      </c>
      <c r="L263" s="67">
        <v>9</v>
      </c>
      <c r="M263" s="64">
        <v>270</v>
      </c>
      <c r="N263" s="64">
        <v>3000</v>
      </c>
      <c r="O263" s="64">
        <v>540</v>
      </c>
      <c r="P263" s="67"/>
      <c r="Q263" s="67">
        <v>960</v>
      </c>
      <c r="R263" s="67">
        <v>1500</v>
      </c>
      <c r="S263" s="64">
        <f>S261</f>
        <v>0.1946</v>
      </c>
      <c r="T263" s="64">
        <f t="shared" si="372"/>
        <v>1</v>
      </c>
      <c r="U263" s="64">
        <f t="shared" si="373"/>
        <v>2500</v>
      </c>
      <c r="V263" s="64">
        <f t="shared" si="374"/>
        <v>2500</v>
      </c>
      <c r="W263" s="64">
        <f t="shared" si="375"/>
        <v>487</v>
      </c>
      <c r="X263" s="64">
        <f t="shared" si="376"/>
        <v>487</v>
      </c>
      <c r="Y263" s="64">
        <v>150</v>
      </c>
      <c r="Z263" s="64">
        <f t="shared" si="337"/>
        <v>637</v>
      </c>
      <c r="AA263" s="132">
        <v>2022.1</v>
      </c>
      <c r="AB263" s="132">
        <v>2024.1</v>
      </c>
      <c r="AC263" s="67"/>
    </row>
    <row r="264" s="42" customFormat="true" spans="1:29">
      <c r="A264" s="64">
        <v>1</v>
      </c>
      <c r="B264" s="71" t="s">
        <v>695</v>
      </c>
      <c r="C264" s="68">
        <v>1</v>
      </c>
      <c r="D264" s="68"/>
      <c r="E264" s="68"/>
      <c r="F264" s="68"/>
      <c r="G264" s="64">
        <f>G265</f>
        <v>7000</v>
      </c>
      <c r="H264" s="64">
        <f>H265</f>
        <v>3743</v>
      </c>
      <c r="I264" s="64"/>
      <c r="J264" s="64">
        <f t="shared" ref="J264:O264" si="378">J265</f>
        <v>7000</v>
      </c>
      <c r="K264" s="67">
        <v>15</v>
      </c>
      <c r="L264" s="67">
        <f t="shared" si="378"/>
        <v>15</v>
      </c>
      <c r="M264" s="64">
        <f t="shared" si="378"/>
        <v>450</v>
      </c>
      <c r="N264" s="64">
        <f t="shared" si="378"/>
        <v>3743</v>
      </c>
      <c r="O264" s="64">
        <f t="shared" si="378"/>
        <v>480</v>
      </c>
      <c r="P264" s="67"/>
      <c r="Q264" s="67">
        <v>3263</v>
      </c>
      <c r="R264" s="67"/>
      <c r="S264" s="64">
        <f>VLOOKUP(B264,[1]补助标准!B:L,7,FALSE)</f>
        <v>0.1946</v>
      </c>
      <c r="T264" s="67"/>
      <c r="U264" s="67"/>
      <c r="V264" s="67"/>
      <c r="W264" s="67">
        <f>W265</f>
        <v>623</v>
      </c>
      <c r="X264" s="67">
        <f>X265</f>
        <v>480</v>
      </c>
      <c r="Y264" s="67">
        <f>Y265</f>
        <v>205</v>
      </c>
      <c r="Z264" s="82">
        <f t="shared" si="337"/>
        <v>685</v>
      </c>
      <c r="AA264" s="67"/>
      <c r="AB264" s="67"/>
      <c r="AC264" s="67"/>
    </row>
    <row r="265" s="42" customFormat="true" ht="25.5" spans="1:29">
      <c r="A265" s="67">
        <v>1</v>
      </c>
      <c r="B265" s="68" t="s">
        <v>696</v>
      </c>
      <c r="C265" s="69" t="s">
        <v>697</v>
      </c>
      <c r="D265" s="68" t="s">
        <v>72</v>
      </c>
      <c r="E265" s="68" t="s">
        <v>698</v>
      </c>
      <c r="F265" s="68" t="s">
        <v>688</v>
      </c>
      <c r="G265" s="64">
        <v>7000</v>
      </c>
      <c r="H265" s="64">
        <v>3743</v>
      </c>
      <c r="I265" s="64"/>
      <c r="J265" s="64">
        <v>7000</v>
      </c>
      <c r="K265" s="67">
        <v>15</v>
      </c>
      <c r="L265" s="67">
        <v>15</v>
      </c>
      <c r="M265" s="64">
        <v>450</v>
      </c>
      <c r="N265" s="64">
        <v>3743</v>
      </c>
      <c r="O265" s="64">
        <v>480</v>
      </c>
      <c r="P265" s="67"/>
      <c r="Q265" s="67">
        <v>3263</v>
      </c>
      <c r="R265" s="67"/>
      <c r="S265" s="64">
        <f t="shared" si="371"/>
        <v>0.1946</v>
      </c>
      <c r="T265" s="64">
        <f t="shared" ref="T265:T268" si="379">IF(D265="扶持",0.4,(IF(D265="新建",1,IF(D265="改建",0.45,IF(D265="扩建",0.6,IF(D265="配建",0.4,0))))))</f>
        <v>1</v>
      </c>
      <c r="U265" s="64">
        <f t="shared" ref="U265:U268" si="380">IF(L265&gt;=12,3200,IF(L265&gt;=9,2500,IF(L265&gt;=6,1800,1200)))</f>
        <v>3200</v>
      </c>
      <c r="V265" s="64">
        <f t="shared" ref="V265:V268" si="381">ROUND(MIN(G265,U265),0)</f>
        <v>3200</v>
      </c>
      <c r="W265" s="64">
        <f t="shared" ref="W265:W268" si="382">ROUND(S265*V265*T265,0)</f>
        <v>623</v>
      </c>
      <c r="X265" s="64">
        <f t="shared" ref="X265:X268" si="383">MIN(W265,O265)</f>
        <v>480</v>
      </c>
      <c r="Y265" s="64">
        <v>205</v>
      </c>
      <c r="Z265" s="64">
        <f t="shared" si="337"/>
        <v>685</v>
      </c>
      <c r="AA265" s="132">
        <v>2022.1</v>
      </c>
      <c r="AB265" s="132">
        <v>2024.1</v>
      </c>
      <c r="AC265" s="67"/>
    </row>
    <row r="266" s="42" customFormat="true" spans="1:29">
      <c r="A266" s="64">
        <v>1</v>
      </c>
      <c r="B266" s="71" t="s">
        <v>699</v>
      </c>
      <c r="C266" s="68">
        <v>2</v>
      </c>
      <c r="D266" s="68"/>
      <c r="E266" s="68"/>
      <c r="F266" s="68"/>
      <c r="G266" s="64">
        <f t="shared" ref="G266:J266" si="384">G267+G268</f>
        <v>4407</v>
      </c>
      <c r="H266" s="64">
        <f t="shared" si="384"/>
        <v>840</v>
      </c>
      <c r="I266" s="64"/>
      <c r="J266" s="64">
        <f t="shared" si="384"/>
        <v>4407</v>
      </c>
      <c r="K266" s="67">
        <v>6</v>
      </c>
      <c r="L266" s="67">
        <f t="shared" ref="L266:O266" si="385">L267+L268</f>
        <v>6</v>
      </c>
      <c r="M266" s="64">
        <f t="shared" si="385"/>
        <v>180</v>
      </c>
      <c r="N266" s="64">
        <f t="shared" si="385"/>
        <v>840</v>
      </c>
      <c r="O266" s="64">
        <f t="shared" si="385"/>
        <v>672</v>
      </c>
      <c r="P266" s="67"/>
      <c r="Q266" s="67">
        <f>Q267+Q268</f>
        <v>168</v>
      </c>
      <c r="R266" s="67"/>
      <c r="S266" s="64">
        <f>VLOOKUP(B266,[1]补助标准!B:L,7,FALSE)</f>
        <v>0.1946</v>
      </c>
      <c r="T266" s="67"/>
      <c r="U266" s="67"/>
      <c r="V266" s="67"/>
      <c r="W266" s="67">
        <f>SUM(W267:W268)</f>
        <v>210</v>
      </c>
      <c r="X266" s="67">
        <f>SUM(X267:X268)</f>
        <v>210</v>
      </c>
      <c r="Y266" s="67">
        <f>SUM(Y267:Y268)</f>
        <v>58</v>
      </c>
      <c r="Z266" s="82">
        <f t="shared" si="337"/>
        <v>268</v>
      </c>
      <c r="AA266" s="67"/>
      <c r="AB266" s="67"/>
      <c r="AC266" s="67"/>
    </row>
    <row r="267" s="42" customFormat="true" ht="25.5" spans="1:29">
      <c r="A267" s="64">
        <v>1</v>
      </c>
      <c r="B267" s="65" t="s">
        <v>700</v>
      </c>
      <c r="C267" s="66" t="s">
        <v>701</v>
      </c>
      <c r="D267" s="65" t="s">
        <v>65</v>
      </c>
      <c r="E267" s="65"/>
      <c r="F267" s="68" t="s">
        <v>702</v>
      </c>
      <c r="G267" s="64">
        <v>3200</v>
      </c>
      <c r="H267" s="64">
        <v>480</v>
      </c>
      <c r="I267" s="64"/>
      <c r="J267" s="64">
        <v>3200</v>
      </c>
      <c r="K267" s="64">
        <v>3</v>
      </c>
      <c r="L267" s="64">
        <f t="shared" ref="L267:L271" si="386">M267/30</f>
        <v>3</v>
      </c>
      <c r="M267" s="64">
        <v>90</v>
      </c>
      <c r="N267" s="64">
        <v>480</v>
      </c>
      <c r="O267" s="64">
        <v>384</v>
      </c>
      <c r="P267" s="64"/>
      <c r="Q267" s="64">
        <v>96</v>
      </c>
      <c r="R267" s="64"/>
      <c r="S267" s="64">
        <f>S266</f>
        <v>0.1946</v>
      </c>
      <c r="T267" s="64">
        <f t="shared" si="379"/>
        <v>0.45</v>
      </c>
      <c r="U267" s="64">
        <f t="shared" si="380"/>
        <v>1200</v>
      </c>
      <c r="V267" s="64">
        <f t="shared" si="381"/>
        <v>1200</v>
      </c>
      <c r="W267" s="64">
        <f t="shared" si="382"/>
        <v>105</v>
      </c>
      <c r="X267" s="64">
        <f t="shared" si="383"/>
        <v>105</v>
      </c>
      <c r="Y267" s="64">
        <v>31</v>
      </c>
      <c r="Z267" s="64">
        <f t="shared" si="337"/>
        <v>136</v>
      </c>
      <c r="AA267" s="103">
        <v>2022.04</v>
      </c>
      <c r="AB267" s="103">
        <v>2022.12</v>
      </c>
      <c r="AC267" s="64"/>
    </row>
    <row r="268" s="42" customFormat="true" ht="38.25" spans="1:29">
      <c r="A268" s="64">
        <v>2</v>
      </c>
      <c r="B268" s="65" t="s">
        <v>703</v>
      </c>
      <c r="C268" s="66" t="s">
        <v>704</v>
      </c>
      <c r="D268" s="65" t="s">
        <v>65</v>
      </c>
      <c r="E268" s="65" t="s">
        <v>705</v>
      </c>
      <c r="F268" s="68" t="s">
        <v>706</v>
      </c>
      <c r="G268" s="64">
        <v>1207</v>
      </c>
      <c r="H268" s="64">
        <v>360</v>
      </c>
      <c r="I268" s="64"/>
      <c r="J268" s="64">
        <v>1207</v>
      </c>
      <c r="K268" s="64">
        <v>3</v>
      </c>
      <c r="L268" s="64">
        <f t="shared" si="386"/>
        <v>3</v>
      </c>
      <c r="M268" s="64">
        <v>90</v>
      </c>
      <c r="N268" s="64">
        <v>360</v>
      </c>
      <c r="O268" s="64">
        <v>288</v>
      </c>
      <c r="P268" s="64"/>
      <c r="Q268" s="64">
        <v>72</v>
      </c>
      <c r="R268" s="64"/>
      <c r="S268" s="64">
        <f>S266</f>
        <v>0.1946</v>
      </c>
      <c r="T268" s="64">
        <f t="shared" si="379"/>
        <v>0.45</v>
      </c>
      <c r="U268" s="64">
        <f t="shared" si="380"/>
        <v>1200</v>
      </c>
      <c r="V268" s="64">
        <f t="shared" si="381"/>
        <v>1200</v>
      </c>
      <c r="W268" s="64">
        <f t="shared" si="382"/>
        <v>105</v>
      </c>
      <c r="X268" s="64">
        <f t="shared" si="383"/>
        <v>105</v>
      </c>
      <c r="Y268" s="64">
        <v>27</v>
      </c>
      <c r="Z268" s="64">
        <f t="shared" si="337"/>
        <v>132</v>
      </c>
      <c r="AA268" s="103">
        <v>2022.03</v>
      </c>
      <c r="AB268" s="103">
        <v>2022.08</v>
      </c>
      <c r="AC268" s="64"/>
    </row>
    <row r="269" s="42" customFormat="true" spans="1:29">
      <c r="A269" s="64">
        <v>1</v>
      </c>
      <c r="B269" s="71" t="s">
        <v>707</v>
      </c>
      <c r="C269" s="68">
        <v>2</v>
      </c>
      <c r="D269" s="68"/>
      <c r="E269" s="68"/>
      <c r="F269" s="68"/>
      <c r="G269" s="64">
        <f t="shared" ref="G269:J269" si="387">G270+G271</f>
        <v>9262</v>
      </c>
      <c r="H269" s="64">
        <f t="shared" si="387"/>
        <v>200</v>
      </c>
      <c r="I269" s="64">
        <f t="shared" si="387"/>
        <v>200</v>
      </c>
      <c r="J269" s="64">
        <f t="shared" si="387"/>
        <v>9262</v>
      </c>
      <c r="K269" s="67">
        <v>6</v>
      </c>
      <c r="L269" s="67">
        <f t="shared" ref="L269:O269" si="388">L270+L271</f>
        <v>6</v>
      </c>
      <c r="M269" s="64">
        <f t="shared" si="388"/>
        <v>180</v>
      </c>
      <c r="N269" s="64">
        <f t="shared" si="388"/>
        <v>400</v>
      </c>
      <c r="O269" s="64">
        <f t="shared" si="388"/>
        <v>360</v>
      </c>
      <c r="P269" s="67"/>
      <c r="Q269" s="67"/>
      <c r="R269" s="67">
        <f>R270+R271</f>
        <v>40</v>
      </c>
      <c r="S269" s="64">
        <f>VLOOKUP(B269,[1]补助标准!B:L,7,FALSE)</f>
        <v>0.1946</v>
      </c>
      <c r="T269" s="67"/>
      <c r="U269" s="67"/>
      <c r="V269" s="67"/>
      <c r="W269" s="67">
        <f>SUM(W270:W271)</f>
        <v>210</v>
      </c>
      <c r="X269" s="67">
        <f>SUM(X270:X271)</f>
        <v>210</v>
      </c>
      <c r="Y269" s="67">
        <f>SUM(Y270:Y271)</f>
        <v>42</v>
      </c>
      <c r="Z269" s="82">
        <f t="shared" si="337"/>
        <v>252</v>
      </c>
      <c r="AA269" s="67"/>
      <c r="AB269" s="67"/>
      <c r="AC269" s="67"/>
    </row>
    <row r="270" s="42" customFormat="true" ht="25.5" spans="1:29">
      <c r="A270" s="67">
        <v>1</v>
      </c>
      <c r="B270" s="68" t="s">
        <v>708</v>
      </c>
      <c r="C270" s="69" t="s">
        <v>709</v>
      </c>
      <c r="D270" s="68" t="s">
        <v>65</v>
      </c>
      <c r="E270" s="68"/>
      <c r="F270" s="68" t="s">
        <v>710</v>
      </c>
      <c r="G270" s="64">
        <v>7062</v>
      </c>
      <c r="H270" s="64">
        <v>100</v>
      </c>
      <c r="I270" s="64">
        <v>100</v>
      </c>
      <c r="J270" s="64">
        <v>7062</v>
      </c>
      <c r="K270" s="64">
        <v>3</v>
      </c>
      <c r="L270" s="64">
        <f t="shared" si="386"/>
        <v>3</v>
      </c>
      <c r="M270" s="64">
        <v>90</v>
      </c>
      <c r="N270" s="64">
        <v>200</v>
      </c>
      <c r="O270" s="64">
        <v>180</v>
      </c>
      <c r="P270" s="67"/>
      <c r="Q270" s="67"/>
      <c r="R270" s="67">
        <v>20</v>
      </c>
      <c r="S270" s="64">
        <f>S269</f>
        <v>0.1946</v>
      </c>
      <c r="T270" s="64">
        <f t="shared" ref="T270:T277" si="389">IF(D270="扶持",0.4,(IF(D270="新建",1,IF(D270="改建",0.45,IF(D270="扩建",0.6,IF(D270="配建",0.4,0))))))</f>
        <v>0.45</v>
      </c>
      <c r="U270" s="64">
        <f t="shared" ref="U270:U277" si="390">IF(L270&gt;=12,3200,IF(L270&gt;=9,2500,IF(L270&gt;=6,1800,1200)))</f>
        <v>1200</v>
      </c>
      <c r="V270" s="64">
        <f t="shared" ref="V270:V277" si="391">ROUND(MIN(G270,U270),0)</f>
        <v>1200</v>
      </c>
      <c r="W270" s="64">
        <f t="shared" ref="W270:W277" si="392">ROUND(S270*V270*T270,0)</f>
        <v>105</v>
      </c>
      <c r="X270" s="64">
        <f t="shared" ref="X270:X277" si="393">MIN(W270,O270)</f>
        <v>105</v>
      </c>
      <c r="Y270" s="64">
        <v>21</v>
      </c>
      <c r="Z270" s="64">
        <f t="shared" si="337"/>
        <v>126</v>
      </c>
      <c r="AA270" s="67">
        <v>2022.6</v>
      </c>
      <c r="AB270" s="67">
        <v>2022.9</v>
      </c>
      <c r="AC270" s="67"/>
    </row>
    <row r="271" s="42" customFormat="true" ht="25.5" spans="1:29">
      <c r="A271" s="67">
        <v>2</v>
      </c>
      <c r="B271" s="68" t="s">
        <v>708</v>
      </c>
      <c r="C271" s="69" t="s">
        <v>711</v>
      </c>
      <c r="D271" s="68" t="s">
        <v>65</v>
      </c>
      <c r="E271" s="68"/>
      <c r="F271" s="68" t="s">
        <v>710</v>
      </c>
      <c r="G271" s="64">
        <v>2200</v>
      </c>
      <c r="H271" s="64">
        <v>100</v>
      </c>
      <c r="I271" s="64">
        <v>100</v>
      </c>
      <c r="J271" s="64">
        <v>2200</v>
      </c>
      <c r="K271" s="64">
        <v>3</v>
      </c>
      <c r="L271" s="64">
        <f t="shared" si="386"/>
        <v>3</v>
      </c>
      <c r="M271" s="64">
        <v>90</v>
      </c>
      <c r="N271" s="64">
        <v>200</v>
      </c>
      <c r="O271" s="64">
        <v>180</v>
      </c>
      <c r="P271" s="67"/>
      <c r="Q271" s="67"/>
      <c r="R271" s="67">
        <v>20</v>
      </c>
      <c r="S271" s="64">
        <f>S269</f>
        <v>0.1946</v>
      </c>
      <c r="T271" s="64">
        <f t="shared" si="389"/>
        <v>0.45</v>
      </c>
      <c r="U271" s="64">
        <f t="shared" si="390"/>
        <v>1200</v>
      </c>
      <c r="V271" s="64">
        <f t="shared" si="391"/>
        <v>1200</v>
      </c>
      <c r="W271" s="64">
        <f t="shared" si="392"/>
        <v>105</v>
      </c>
      <c r="X271" s="64">
        <f t="shared" si="393"/>
        <v>105</v>
      </c>
      <c r="Y271" s="64">
        <v>21</v>
      </c>
      <c r="Z271" s="64">
        <f t="shared" si="337"/>
        <v>126</v>
      </c>
      <c r="AA271" s="67">
        <v>2022.6</v>
      </c>
      <c r="AB271" s="67">
        <v>2022.9</v>
      </c>
      <c r="AC271" s="67"/>
    </row>
    <row r="272" s="42" customFormat="true" spans="1:29">
      <c r="A272" s="64">
        <v>1</v>
      </c>
      <c r="B272" s="71" t="s">
        <v>712</v>
      </c>
      <c r="C272" s="68">
        <v>5</v>
      </c>
      <c r="D272" s="68"/>
      <c r="E272" s="68"/>
      <c r="F272" s="68"/>
      <c r="G272" s="67">
        <f t="shared" ref="G272:J272" si="394">G273+G274+G275+G276+G277</f>
        <v>10123</v>
      </c>
      <c r="H272" s="67">
        <f t="shared" si="394"/>
        <v>2300</v>
      </c>
      <c r="I272" s="67">
        <f t="shared" si="394"/>
        <v>800</v>
      </c>
      <c r="J272" s="67">
        <f t="shared" si="394"/>
        <v>16995.29</v>
      </c>
      <c r="K272" s="67">
        <v>26</v>
      </c>
      <c r="L272" s="67">
        <f t="shared" ref="L272:R272" si="395">L273+L274+L275+L276+L277</f>
        <v>23</v>
      </c>
      <c r="M272" s="67">
        <f t="shared" si="395"/>
        <v>690</v>
      </c>
      <c r="N272" s="67">
        <f t="shared" si="395"/>
        <v>3100</v>
      </c>
      <c r="O272" s="67">
        <f t="shared" si="395"/>
        <v>2200</v>
      </c>
      <c r="P272" s="67">
        <f t="shared" si="395"/>
        <v>0</v>
      </c>
      <c r="Q272" s="67">
        <f t="shared" si="395"/>
        <v>900</v>
      </c>
      <c r="R272" s="67">
        <f t="shared" si="395"/>
        <v>0</v>
      </c>
      <c r="S272" s="64">
        <f>VLOOKUP(B272,[1]补助标准!B:L,7,FALSE)</f>
        <v>0.1946</v>
      </c>
      <c r="T272" s="64">
        <f t="shared" si="389"/>
        <v>0</v>
      </c>
      <c r="U272" s="64"/>
      <c r="V272" s="64"/>
      <c r="W272" s="64">
        <f>SUM(W273:W277)</f>
        <v>587</v>
      </c>
      <c r="X272" s="64">
        <f>SUM(X273:X277)</f>
        <v>587</v>
      </c>
      <c r="Y272" s="64">
        <f>SUM(Y273:Y277)</f>
        <v>220</v>
      </c>
      <c r="Z272" s="82">
        <f t="shared" si="337"/>
        <v>807</v>
      </c>
      <c r="AA272" s="67"/>
      <c r="AB272" s="67"/>
      <c r="AC272" s="67"/>
    </row>
    <row r="273" s="42" customFormat="true" ht="25.5" spans="1:29">
      <c r="A273" s="67">
        <v>1</v>
      </c>
      <c r="B273" s="68" t="s">
        <v>713</v>
      </c>
      <c r="C273" s="69" t="s">
        <v>714</v>
      </c>
      <c r="D273" s="68" t="s">
        <v>61</v>
      </c>
      <c r="E273" s="68" t="s">
        <v>715</v>
      </c>
      <c r="F273" s="68" t="s">
        <v>716</v>
      </c>
      <c r="G273" s="64">
        <v>3708</v>
      </c>
      <c r="H273" s="64">
        <v>1000</v>
      </c>
      <c r="I273" s="64">
        <v>200</v>
      </c>
      <c r="J273" s="64">
        <v>8880.29</v>
      </c>
      <c r="K273" s="64">
        <v>6</v>
      </c>
      <c r="L273" s="64">
        <f t="shared" ref="L273:L275" si="396">M273/30</f>
        <v>6</v>
      </c>
      <c r="M273" s="64">
        <v>180</v>
      </c>
      <c r="N273" s="64">
        <v>1200</v>
      </c>
      <c r="O273" s="64">
        <v>600</v>
      </c>
      <c r="P273" s="67"/>
      <c r="Q273" s="67">
        <v>600</v>
      </c>
      <c r="R273" s="67"/>
      <c r="S273" s="64">
        <f t="shared" ref="S273:S278" si="397">$S$272</f>
        <v>0.1946</v>
      </c>
      <c r="T273" s="64">
        <f t="shared" si="389"/>
        <v>0.6</v>
      </c>
      <c r="U273" s="64">
        <f t="shared" si="390"/>
        <v>1800</v>
      </c>
      <c r="V273" s="64">
        <f t="shared" si="391"/>
        <v>1800</v>
      </c>
      <c r="W273" s="64">
        <f t="shared" si="392"/>
        <v>210</v>
      </c>
      <c r="X273" s="64">
        <f t="shared" si="393"/>
        <v>210</v>
      </c>
      <c r="Y273" s="64">
        <v>71</v>
      </c>
      <c r="Z273" s="64">
        <f t="shared" si="337"/>
        <v>281</v>
      </c>
      <c r="AA273" s="67">
        <v>2022.2</v>
      </c>
      <c r="AB273" s="67">
        <v>2022.6</v>
      </c>
      <c r="AC273" s="67"/>
    </row>
    <row r="274" s="42" customFormat="true" ht="25.5" spans="1:29">
      <c r="A274" s="67">
        <v>2</v>
      </c>
      <c r="B274" s="68" t="s">
        <v>717</v>
      </c>
      <c r="C274" s="69" t="s">
        <v>718</v>
      </c>
      <c r="D274" s="68" t="s">
        <v>65</v>
      </c>
      <c r="E274" s="68" t="s">
        <v>719</v>
      </c>
      <c r="F274" s="68" t="s">
        <v>710</v>
      </c>
      <c r="G274" s="64">
        <v>3000</v>
      </c>
      <c r="H274" s="64">
        <v>400</v>
      </c>
      <c r="I274" s="64">
        <v>200</v>
      </c>
      <c r="J274" s="64">
        <v>3300</v>
      </c>
      <c r="K274" s="64">
        <v>3</v>
      </c>
      <c r="L274" s="64">
        <f t="shared" si="396"/>
        <v>3</v>
      </c>
      <c r="M274" s="64">
        <v>90</v>
      </c>
      <c r="N274" s="64">
        <v>600</v>
      </c>
      <c r="O274" s="64">
        <v>400</v>
      </c>
      <c r="P274" s="67"/>
      <c r="Q274" s="67">
        <v>200</v>
      </c>
      <c r="R274" s="67"/>
      <c r="S274" s="64">
        <f t="shared" si="397"/>
        <v>0.1946</v>
      </c>
      <c r="T274" s="64">
        <f t="shared" si="389"/>
        <v>0.45</v>
      </c>
      <c r="U274" s="64">
        <f t="shared" si="390"/>
        <v>1200</v>
      </c>
      <c r="V274" s="64">
        <f t="shared" si="391"/>
        <v>1200</v>
      </c>
      <c r="W274" s="64">
        <f t="shared" si="392"/>
        <v>105</v>
      </c>
      <c r="X274" s="64">
        <f t="shared" si="393"/>
        <v>105</v>
      </c>
      <c r="Y274" s="64">
        <v>36</v>
      </c>
      <c r="Z274" s="64">
        <f t="shared" si="337"/>
        <v>141</v>
      </c>
      <c r="AA274" s="67">
        <v>2022.5</v>
      </c>
      <c r="AB274" s="67">
        <v>2022.8</v>
      </c>
      <c r="AC274" s="67"/>
    </row>
    <row r="275" s="48" customFormat="true" ht="25.5" spans="1:29">
      <c r="A275" s="64">
        <v>3</v>
      </c>
      <c r="B275" s="65" t="s">
        <v>717</v>
      </c>
      <c r="C275" s="66" t="s">
        <v>720</v>
      </c>
      <c r="D275" s="65" t="s">
        <v>65</v>
      </c>
      <c r="E275" s="65" t="s">
        <v>721</v>
      </c>
      <c r="F275" s="65" t="s">
        <v>710</v>
      </c>
      <c r="G275" s="64">
        <v>600</v>
      </c>
      <c r="H275" s="64">
        <v>300</v>
      </c>
      <c r="I275" s="64">
        <v>100</v>
      </c>
      <c r="J275" s="64">
        <v>2000</v>
      </c>
      <c r="K275" s="64">
        <v>11</v>
      </c>
      <c r="L275" s="64">
        <f t="shared" si="396"/>
        <v>2</v>
      </c>
      <c r="M275" s="64">
        <v>60</v>
      </c>
      <c r="N275" s="64">
        <v>400</v>
      </c>
      <c r="O275" s="64">
        <v>300</v>
      </c>
      <c r="P275" s="64"/>
      <c r="Q275" s="64">
        <v>100</v>
      </c>
      <c r="R275" s="64"/>
      <c r="S275" s="64">
        <f t="shared" si="397"/>
        <v>0.1946</v>
      </c>
      <c r="T275" s="64">
        <f t="shared" si="389"/>
        <v>0.45</v>
      </c>
      <c r="U275" s="64">
        <f t="shared" si="390"/>
        <v>1200</v>
      </c>
      <c r="V275" s="64">
        <f t="shared" si="391"/>
        <v>600</v>
      </c>
      <c r="W275" s="64">
        <f t="shared" si="392"/>
        <v>53</v>
      </c>
      <c r="X275" s="64">
        <f t="shared" si="393"/>
        <v>53</v>
      </c>
      <c r="Y275" s="64">
        <v>24</v>
      </c>
      <c r="Z275" s="64">
        <f t="shared" si="337"/>
        <v>77</v>
      </c>
      <c r="AA275" s="64">
        <v>2022.5</v>
      </c>
      <c r="AB275" s="64">
        <v>2022.8</v>
      </c>
      <c r="AC275" s="64"/>
    </row>
    <row r="276" s="42" customFormat="true" ht="25.5" spans="1:29">
      <c r="A276" s="67">
        <v>1</v>
      </c>
      <c r="B276" s="68" t="s">
        <v>722</v>
      </c>
      <c r="C276" s="69" t="s">
        <v>723</v>
      </c>
      <c r="D276" s="68" t="s">
        <v>81</v>
      </c>
      <c r="E276" s="68" t="s">
        <v>724</v>
      </c>
      <c r="F276" s="68" t="s">
        <v>725</v>
      </c>
      <c r="G276" s="64">
        <v>2000</v>
      </c>
      <c r="H276" s="64">
        <v>400</v>
      </c>
      <c r="I276" s="64">
        <v>200</v>
      </c>
      <c r="J276" s="64">
        <v>2000</v>
      </c>
      <c r="K276" s="64">
        <v>9</v>
      </c>
      <c r="L276" s="64">
        <v>9</v>
      </c>
      <c r="M276" s="64">
        <v>270</v>
      </c>
      <c r="N276" s="64">
        <v>600</v>
      </c>
      <c r="O276" s="64">
        <v>600</v>
      </c>
      <c r="P276" s="67"/>
      <c r="Q276" s="67"/>
      <c r="R276" s="67"/>
      <c r="S276" s="64">
        <f t="shared" si="397"/>
        <v>0.1946</v>
      </c>
      <c r="T276" s="64">
        <f t="shared" si="389"/>
        <v>0.4</v>
      </c>
      <c r="U276" s="64">
        <f t="shared" si="390"/>
        <v>2500</v>
      </c>
      <c r="V276" s="64">
        <f t="shared" si="391"/>
        <v>2000</v>
      </c>
      <c r="W276" s="64">
        <f t="shared" si="392"/>
        <v>156</v>
      </c>
      <c r="X276" s="64">
        <f t="shared" si="393"/>
        <v>156</v>
      </c>
      <c r="Y276" s="64">
        <v>64</v>
      </c>
      <c r="Z276" s="64">
        <f t="shared" si="337"/>
        <v>220</v>
      </c>
      <c r="AA276" s="129">
        <v>44743</v>
      </c>
      <c r="AB276" s="129">
        <v>44896</v>
      </c>
      <c r="AC276" s="67"/>
    </row>
    <row r="277" s="49" customFormat="true" ht="25.5" spans="1:29">
      <c r="A277" s="67">
        <v>2</v>
      </c>
      <c r="B277" s="68" t="s">
        <v>726</v>
      </c>
      <c r="C277" s="69" t="s">
        <v>727</v>
      </c>
      <c r="D277" s="68" t="s">
        <v>81</v>
      </c>
      <c r="E277" s="68" t="s">
        <v>728</v>
      </c>
      <c r="F277" s="68" t="s">
        <v>729</v>
      </c>
      <c r="G277" s="64">
        <v>815</v>
      </c>
      <c r="H277" s="64">
        <v>200</v>
      </c>
      <c r="I277" s="64">
        <v>100</v>
      </c>
      <c r="J277" s="64">
        <v>815</v>
      </c>
      <c r="K277" s="64">
        <v>6</v>
      </c>
      <c r="L277" s="64">
        <v>3</v>
      </c>
      <c r="M277" s="64">
        <v>90</v>
      </c>
      <c r="N277" s="64">
        <v>300</v>
      </c>
      <c r="O277" s="64">
        <v>300</v>
      </c>
      <c r="P277" s="67"/>
      <c r="Q277" s="67"/>
      <c r="R277" s="67"/>
      <c r="S277" s="64">
        <f t="shared" si="397"/>
        <v>0.1946</v>
      </c>
      <c r="T277" s="64">
        <f t="shared" si="389"/>
        <v>0.4</v>
      </c>
      <c r="U277" s="64">
        <f t="shared" si="390"/>
        <v>1200</v>
      </c>
      <c r="V277" s="64">
        <f t="shared" si="391"/>
        <v>815</v>
      </c>
      <c r="W277" s="64">
        <f t="shared" si="392"/>
        <v>63</v>
      </c>
      <c r="X277" s="64">
        <f t="shared" si="393"/>
        <v>63</v>
      </c>
      <c r="Y277" s="64">
        <v>25</v>
      </c>
      <c r="Z277" s="64">
        <f t="shared" si="337"/>
        <v>88</v>
      </c>
      <c r="AA277" s="129">
        <v>44682</v>
      </c>
      <c r="AB277" s="129">
        <v>44774</v>
      </c>
      <c r="AC277" s="67"/>
    </row>
    <row r="278" s="42" customFormat="true" spans="1:29">
      <c r="A278" s="64">
        <v>1</v>
      </c>
      <c r="B278" s="71" t="s">
        <v>730</v>
      </c>
      <c r="C278" s="68">
        <v>1</v>
      </c>
      <c r="D278" s="68"/>
      <c r="E278" s="68"/>
      <c r="F278" s="68"/>
      <c r="G278" s="64">
        <f t="shared" ref="G278:J278" si="398">G279</f>
        <v>5300</v>
      </c>
      <c r="H278" s="64">
        <f t="shared" si="398"/>
        <v>650</v>
      </c>
      <c r="I278" s="64">
        <f t="shared" si="398"/>
        <v>350</v>
      </c>
      <c r="J278" s="64">
        <f t="shared" si="398"/>
        <v>5300</v>
      </c>
      <c r="K278" s="67">
        <v>12</v>
      </c>
      <c r="L278" s="67">
        <f t="shared" ref="L278:O278" si="399">L279</f>
        <v>12</v>
      </c>
      <c r="M278" s="64">
        <f t="shared" si="399"/>
        <v>360</v>
      </c>
      <c r="N278" s="64">
        <f t="shared" si="399"/>
        <v>1000</v>
      </c>
      <c r="O278" s="64">
        <f t="shared" si="399"/>
        <v>400</v>
      </c>
      <c r="P278" s="67"/>
      <c r="Q278" s="67">
        <f>Q279</f>
        <v>600</v>
      </c>
      <c r="R278" s="67"/>
      <c r="S278" s="64">
        <f t="shared" si="397"/>
        <v>0.1946</v>
      </c>
      <c r="T278" s="67"/>
      <c r="U278" s="67"/>
      <c r="V278" s="67"/>
      <c r="W278" s="67">
        <f>W279</f>
        <v>249</v>
      </c>
      <c r="X278" s="67">
        <f>X279</f>
        <v>249</v>
      </c>
      <c r="Y278" s="67">
        <f>Y279</f>
        <v>91</v>
      </c>
      <c r="Z278" s="82">
        <f t="shared" si="337"/>
        <v>340</v>
      </c>
      <c r="AA278" s="67"/>
      <c r="AB278" s="67"/>
      <c r="AC278" s="67"/>
    </row>
    <row r="279" s="42" customFormat="true" ht="25.5" spans="1:29">
      <c r="A279" s="67">
        <v>1</v>
      </c>
      <c r="B279" s="68" t="s">
        <v>731</v>
      </c>
      <c r="C279" s="69" t="s">
        <v>732</v>
      </c>
      <c r="D279" s="68" t="s">
        <v>81</v>
      </c>
      <c r="E279" s="68" t="s">
        <v>733</v>
      </c>
      <c r="F279" s="68" t="s">
        <v>734</v>
      </c>
      <c r="G279" s="64">
        <v>5300</v>
      </c>
      <c r="H279" s="64">
        <v>650</v>
      </c>
      <c r="I279" s="64">
        <v>350</v>
      </c>
      <c r="J279" s="64">
        <v>5300</v>
      </c>
      <c r="K279" s="67">
        <v>12</v>
      </c>
      <c r="L279" s="67">
        <v>12</v>
      </c>
      <c r="M279" s="64">
        <v>360</v>
      </c>
      <c r="N279" s="64">
        <v>1000</v>
      </c>
      <c r="O279" s="64">
        <v>400</v>
      </c>
      <c r="P279" s="67"/>
      <c r="Q279" s="67">
        <v>600</v>
      </c>
      <c r="R279" s="67"/>
      <c r="S279" s="64">
        <f>S278</f>
        <v>0.1946</v>
      </c>
      <c r="T279" s="64">
        <f t="shared" ref="T279:T281" si="400">IF(D279="扶持",0.4,(IF(D279="新建",1,IF(D279="改建",0.45,IF(D279="扩建",0.6,IF(D279="配建",0.4,0))))))</f>
        <v>0.4</v>
      </c>
      <c r="U279" s="64">
        <f t="shared" ref="U279:U286" si="401">IF(L279&gt;=12,3200,IF(L279&gt;=9,2500,IF(L279&gt;=6,1800,1200)))</f>
        <v>3200</v>
      </c>
      <c r="V279" s="64">
        <f t="shared" ref="V279:V286" si="402">ROUND(MIN(G279,U279),0)</f>
        <v>3200</v>
      </c>
      <c r="W279" s="64">
        <f t="shared" ref="W279:W286" si="403">ROUND(S279*V279*T279,0)</f>
        <v>249</v>
      </c>
      <c r="X279" s="64">
        <f t="shared" ref="X279:X286" si="404">MIN(W279,O279)</f>
        <v>249</v>
      </c>
      <c r="Y279" s="64">
        <v>91</v>
      </c>
      <c r="Z279" s="64">
        <f t="shared" si="337"/>
        <v>340</v>
      </c>
      <c r="AA279" s="67" t="s">
        <v>735</v>
      </c>
      <c r="AB279" s="67">
        <v>2023.9</v>
      </c>
      <c r="AC279" s="67"/>
    </row>
    <row r="280" s="50" customFormat="true" spans="1:29">
      <c r="A280" s="64">
        <v>1</v>
      </c>
      <c r="B280" s="71" t="s">
        <v>736</v>
      </c>
      <c r="C280" s="68">
        <v>1</v>
      </c>
      <c r="D280" s="68"/>
      <c r="E280" s="68"/>
      <c r="F280" s="68"/>
      <c r="G280" s="67">
        <f t="shared" ref="G280:K280" si="405">G281</f>
        <v>3000</v>
      </c>
      <c r="H280" s="67">
        <f t="shared" si="405"/>
        <v>300</v>
      </c>
      <c r="I280" s="67">
        <f t="shared" si="405"/>
        <v>100</v>
      </c>
      <c r="J280" s="67">
        <f t="shared" si="405"/>
        <v>3300</v>
      </c>
      <c r="K280" s="67">
        <f t="shared" si="405"/>
        <v>12</v>
      </c>
      <c r="L280" s="67">
        <v>5</v>
      </c>
      <c r="M280" s="67">
        <f t="shared" ref="M280:P280" si="406">M281</f>
        <v>150</v>
      </c>
      <c r="N280" s="67">
        <f t="shared" si="406"/>
        <v>400</v>
      </c>
      <c r="O280" s="67">
        <f t="shared" si="406"/>
        <v>350</v>
      </c>
      <c r="P280" s="67">
        <f t="shared" si="406"/>
        <v>0</v>
      </c>
      <c r="Q280" s="67"/>
      <c r="R280" s="67">
        <f>R281</f>
        <v>50</v>
      </c>
      <c r="S280" s="64">
        <f>VLOOKUP(B280,[1]补助标准!B:L,7,FALSE)</f>
        <v>0.1946</v>
      </c>
      <c r="T280" s="64">
        <f t="shared" si="400"/>
        <v>0</v>
      </c>
      <c r="U280" s="64"/>
      <c r="V280" s="64"/>
      <c r="W280" s="64">
        <f>W281</f>
        <v>105</v>
      </c>
      <c r="X280" s="64">
        <f>X281</f>
        <v>105</v>
      </c>
      <c r="Y280" s="64">
        <f>Y281</f>
        <v>38</v>
      </c>
      <c r="Z280" s="82">
        <f t="shared" si="337"/>
        <v>143</v>
      </c>
      <c r="AA280" s="67"/>
      <c r="AB280" s="67"/>
      <c r="AC280" s="67"/>
    </row>
    <row r="281" s="50" customFormat="true" ht="25.5" spans="1:29">
      <c r="A281" s="67">
        <v>1</v>
      </c>
      <c r="B281" s="68" t="s">
        <v>737</v>
      </c>
      <c r="C281" s="69" t="s">
        <v>738</v>
      </c>
      <c r="D281" s="68" t="s">
        <v>65</v>
      </c>
      <c r="E281" s="68"/>
      <c r="F281" s="68" t="s">
        <v>710</v>
      </c>
      <c r="G281" s="67">
        <v>3000</v>
      </c>
      <c r="H281" s="67">
        <v>300</v>
      </c>
      <c r="I281" s="67">
        <v>100</v>
      </c>
      <c r="J281" s="67">
        <v>3300</v>
      </c>
      <c r="K281" s="67">
        <v>12</v>
      </c>
      <c r="L281" s="67">
        <v>5</v>
      </c>
      <c r="M281" s="67">
        <v>150</v>
      </c>
      <c r="N281" s="67">
        <v>400</v>
      </c>
      <c r="O281" s="67">
        <v>350</v>
      </c>
      <c r="P281" s="67"/>
      <c r="Q281" s="67"/>
      <c r="R281" s="67">
        <v>50</v>
      </c>
      <c r="S281" s="64">
        <f>S280</f>
        <v>0.1946</v>
      </c>
      <c r="T281" s="64">
        <f t="shared" si="400"/>
        <v>0.45</v>
      </c>
      <c r="U281" s="64">
        <f t="shared" si="401"/>
        <v>1200</v>
      </c>
      <c r="V281" s="64">
        <f t="shared" si="402"/>
        <v>1200</v>
      </c>
      <c r="W281" s="64">
        <f t="shared" si="403"/>
        <v>105</v>
      </c>
      <c r="X281" s="64">
        <f t="shared" si="404"/>
        <v>105</v>
      </c>
      <c r="Y281" s="64">
        <v>38</v>
      </c>
      <c r="Z281" s="64">
        <f t="shared" si="337"/>
        <v>143</v>
      </c>
      <c r="AA281" s="68">
        <v>2022.6</v>
      </c>
      <c r="AB281" s="68">
        <v>2022.9</v>
      </c>
      <c r="AC281" s="67"/>
    </row>
    <row r="282" s="42" customFormat="true" ht="25.5" spans="1:29">
      <c r="A282" s="62"/>
      <c r="B282" s="63" t="s">
        <v>22</v>
      </c>
      <c r="C282" s="63">
        <v>4</v>
      </c>
      <c r="D282" s="63"/>
      <c r="E282" s="63"/>
      <c r="F282" s="63"/>
      <c r="G282" s="62">
        <f t="shared" ref="G282:J282" si="407">SUM(G283:G286)</f>
        <v>19149.89</v>
      </c>
      <c r="H282" s="62">
        <f t="shared" si="407"/>
        <v>3410</v>
      </c>
      <c r="I282" s="62">
        <f t="shared" si="407"/>
        <v>2100</v>
      </c>
      <c r="J282" s="62">
        <f t="shared" si="407"/>
        <v>20295.38</v>
      </c>
      <c r="K282" s="78">
        <v>39</v>
      </c>
      <c r="L282" s="78">
        <f t="shared" ref="L282:R282" si="408">SUM(L283:L286)</f>
        <v>39</v>
      </c>
      <c r="M282" s="62">
        <f t="shared" si="408"/>
        <v>1170</v>
      </c>
      <c r="N282" s="62">
        <v>5510</v>
      </c>
      <c r="O282" s="62">
        <f t="shared" si="408"/>
        <v>2000</v>
      </c>
      <c r="P282" s="62">
        <f t="shared" si="408"/>
        <v>0</v>
      </c>
      <c r="Q282" s="62">
        <f t="shared" si="408"/>
        <v>3510</v>
      </c>
      <c r="R282" s="62">
        <f t="shared" si="408"/>
        <v>0</v>
      </c>
      <c r="S282" s="64">
        <f>VLOOKUP(B282,[1]补助标准!B:L,7,FALSE)</f>
        <v>0.1946</v>
      </c>
      <c r="T282" s="78"/>
      <c r="U282" s="78"/>
      <c r="V282" s="78"/>
      <c r="W282" s="78">
        <f>SUM(W283:W286)</f>
        <v>887</v>
      </c>
      <c r="X282" s="78">
        <f>SUM(X283:X286)</f>
        <v>887</v>
      </c>
      <c r="Y282" s="78"/>
      <c r="Z282" s="62">
        <f t="shared" si="337"/>
        <v>887</v>
      </c>
      <c r="AA282" s="62"/>
      <c r="AB282" s="62"/>
      <c r="AC282" s="62"/>
    </row>
    <row r="283" s="42" customFormat="true" ht="38.25" spans="1:29">
      <c r="A283" s="84">
        <v>1</v>
      </c>
      <c r="B283" s="130" t="s">
        <v>739</v>
      </c>
      <c r="C283" s="131" t="s">
        <v>740</v>
      </c>
      <c r="D283" s="130" t="s">
        <v>61</v>
      </c>
      <c r="E283" s="130" t="s">
        <v>741</v>
      </c>
      <c r="F283" s="130" t="s">
        <v>742</v>
      </c>
      <c r="G283" s="86">
        <v>6003.8</v>
      </c>
      <c r="H283" s="86">
        <v>1950</v>
      </c>
      <c r="I283" s="86">
        <v>150</v>
      </c>
      <c r="J283" s="86">
        <v>7149.29</v>
      </c>
      <c r="K283" s="64">
        <v>3</v>
      </c>
      <c r="L283" s="64">
        <f>M283/30</f>
        <v>3</v>
      </c>
      <c r="M283" s="86">
        <v>90</v>
      </c>
      <c r="N283" s="84" t="s">
        <v>743</v>
      </c>
      <c r="O283" s="86">
        <v>500</v>
      </c>
      <c r="P283" s="86">
        <v>0</v>
      </c>
      <c r="Q283" s="86">
        <v>1600</v>
      </c>
      <c r="R283" s="86">
        <v>0</v>
      </c>
      <c r="S283" s="64">
        <f t="shared" ref="S283:S286" si="409">$S$282</f>
        <v>0.1946</v>
      </c>
      <c r="T283" s="64">
        <f t="shared" ref="T283:T286" si="410">IF(D283="扶持",0.4,(IF(D283="新建",1,IF(D283="改建",0.45,IF(D283="扩建",0.6,IF(D283="配建",0.4,0))))))</f>
        <v>0.6</v>
      </c>
      <c r="U283" s="64">
        <f t="shared" si="401"/>
        <v>1200</v>
      </c>
      <c r="V283" s="64">
        <f t="shared" si="402"/>
        <v>1200</v>
      </c>
      <c r="W283" s="64">
        <f t="shared" si="403"/>
        <v>140</v>
      </c>
      <c r="X283" s="64">
        <f t="shared" si="404"/>
        <v>140</v>
      </c>
      <c r="Y283" s="64"/>
      <c r="Z283" s="64">
        <f t="shared" si="337"/>
        <v>140</v>
      </c>
      <c r="AA283" s="86">
        <v>2022.6</v>
      </c>
      <c r="AB283" s="86">
        <v>2022.12</v>
      </c>
      <c r="AC283" s="84"/>
    </row>
    <row r="284" s="42" customFormat="true" ht="25.5" spans="1:29">
      <c r="A284" s="84">
        <v>1</v>
      </c>
      <c r="B284" s="130" t="s">
        <v>744</v>
      </c>
      <c r="C284" s="131" t="s">
        <v>745</v>
      </c>
      <c r="D284" s="130" t="s">
        <v>81</v>
      </c>
      <c r="E284" s="130"/>
      <c r="F284" s="130" t="s">
        <v>746</v>
      </c>
      <c r="G284" s="86">
        <v>4300</v>
      </c>
      <c r="H284" s="86">
        <v>480</v>
      </c>
      <c r="I284" s="86">
        <v>650</v>
      </c>
      <c r="J284" s="86">
        <v>4300</v>
      </c>
      <c r="K284" s="86">
        <v>12</v>
      </c>
      <c r="L284" s="86">
        <v>12</v>
      </c>
      <c r="M284" s="86">
        <v>360</v>
      </c>
      <c r="N284" s="84" t="s">
        <v>747</v>
      </c>
      <c r="O284" s="86">
        <v>500</v>
      </c>
      <c r="P284" s="86">
        <v>0</v>
      </c>
      <c r="Q284" s="86">
        <v>630</v>
      </c>
      <c r="R284" s="86">
        <v>0</v>
      </c>
      <c r="S284" s="64">
        <f t="shared" si="409"/>
        <v>0.1946</v>
      </c>
      <c r="T284" s="64">
        <f t="shared" si="410"/>
        <v>0.4</v>
      </c>
      <c r="U284" s="64">
        <f t="shared" si="401"/>
        <v>3200</v>
      </c>
      <c r="V284" s="64">
        <f t="shared" si="402"/>
        <v>3200</v>
      </c>
      <c r="W284" s="64">
        <f t="shared" si="403"/>
        <v>249</v>
      </c>
      <c r="X284" s="64">
        <f t="shared" si="404"/>
        <v>249</v>
      </c>
      <c r="Y284" s="64"/>
      <c r="Z284" s="64">
        <f t="shared" si="337"/>
        <v>249</v>
      </c>
      <c r="AA284" s="86">
        <v>2022.4</v>
      </c>
      <c r="AB284" s="86">
        <v>2022.9</v>
      </c>
      <c r="AC284" s="84"/>
    </row>
    <row r="285" s="42" customFormat="true" ht="25.5" spans="1:29">
      <c r="A285" s="84">
        <v>2</v>
      </c>
      <c r="B285" s="130" t="s">
        <v>744</v>
      </c>
      <c r="C285" s="131" t="s">
        <v>748</v>
      </c>
      <c r="D285" s="130" t="s">
        <v>81</v>
      </c>
      <c r="E285" s="130"/>
      <c r="F285" s="130" t="s">
        <v>746</v>
      </c>
      <c r="G285" s="86">
        <v>3915.55</v>
      </c>
      <c r="H285" s="86">
        <v>480</v>
      </c>
      <c r="I285" s="86">
        <v>650</v>
      </c>
      <c r="J285" s="86">
        <v>3915.55</v>
      </c>
      <c r="K285" s="86">
        <v>12</v>
      </c>
      <c r="L285" s="86">
        <v>12</v>
      </c>
      <c r="M285" s="86">
        <v>360</v>
      </c>
      <c r="N285" s="84" t="s">
        <v>747</v>
      </c>
      <c r="O285" s="86">
        <v>500</v>
      </c>
      <c r="P285" s="86">
        <v>0</v>
      </c>
      <c r="Q285" s="86">
        <v>630</v>
      </c>
      <c r="R285" s="86">
        <v>0</v>
      </c>
      <c r="S285" s="64">
        <f t="shared" si="409"/>
        <v>0.1946</v>
      </c>
      <c r="T285" s="64">
        <f t="shared" si="410"/>
        <v>0.4</v>
      </c>
      <c r="U285" s="64">
        <f t="shared" si="401"/>
        <v>3200</v>
      </c>
      <c r="V285" s="64">
        <f t="shared" si="402"/>
        <v>3200</v>
      </c>
      <c r="W285" s="64">
        <f t="shared" si="403"/>
        <v>249</v>
      </c>
      <c r="X285" s="64">
        <f t="shared" si="404"/>
        <v>249</v>
      </c>
      <c r="Y285" s="64"/>
      <c r="Z285" s="64">
        <f t="shared" si="337"/>
        <v>249</v>
      </c>
      <c r="AA285" s="86">
        <v>2022.12</v>
      </c>
      <c r="AB285" s="86">
        <v>2023.3</v>
      </c>
      <c r="AC285" s="84"/>
    </row>
    <row r="286" s="42" customFormat="true" ht="25.5" spans="1:29">
      <c r="A286" s="84">
        <v>3</v>
      </c>
      <c r="B286" s="130" t="s">
        <v>749</v>
      </c>
      <c r="C286" s="131" t="s">
        <v>750</v>
      </c>
      <c r="D286" s="130" t="s">
        <v>81</v>
      </c>
      <c r="E286" s="130"/>
      <c r="F286" s="130" t="s">
        <v>746</v>
      </c>
      <c r="G286" s="86">
        <v>4930.54</v>
      </c>
      <c r="H286" s="86">
        <v>500</v>
      </c>
      <c r="I286" s="86">
        <v>650</v>
      </c>
      <c r="J286" s="86">
        <v>4930.54</v>
      </c>
      <c r="K286" s="86">
        <v>12</v>
      </c>
      <c r="L286" s="86">
        <v>12</v>
      </c>
      <c r="M286" s="86">
        <v>360</v>
      </c>
      <c r="N286" s="84" t="s">
        <v>751</v>
      </c>
      <c r="O286" s="86">
        <v>500</v>
      </c>
      <c r="P286" s="86">
        <v>0</v>
      </c>
      <c r="Q286" s="86">
        <v>650</v>
      </c>
      <c r="R286" s="86">
        <v>0</v>
      </c>
      <c r="S286" s="64">
        <f t="shared" si="409"/>
        <v>0.1946</v>
      </c>
      <c r="T286" s="64">
        <f t="shared" si="410"/>
        <v>0.4</v>
      </c>
      <c r="U286" s="64">
        <f t="shared" si="401"/>
        <v>3200</v>
      </c>
      <c r="V286" s="64">
        <f t="shared" si="402"/>
        <v>3200</v>
      </c>
      <c r="W286" s="64">
        <f t="shared" si="403"/>
        <v>249</v>
      </c>
      <c r="X286" s="64">
        <f t="shared" si="404"/>
        <v>249</v>
      </c>
      <c r="Y286" s="64"/>
      <c r="Z286" s="64">
        <f t="shared" si="337"/>
        <v>249</v>
      </c>
      <c r="AA286" s="86">
        <v>2022.12</v>
      </c>
      <c r="AB286" s="86">
        <v>2023.3</v>
      </c>
      <c r="AC286" s="84"/>
    </row>
  </sheetData>
  <autoFilter ref="A5:AE286">
    <extLst/>
  </autoFilter>
  <mergeCells count="21">
    <mergeCell ref="A2:AC2"/>
    <mergeCell ref="G4:I4"/>
    <mergeCell ref="J4:M4"/>
    <mergeCell ref="N4:R4"/>
    <mergeCell ref="A4:A5"/>
    <mergeCell ref="B4:B5"/>
    <mergeCell ref="C4:C5"/>
    <mergeCell ref="D4:D5"/>
    <mergeCell ref="E4:E5"/>
    <mergeCell ref="F4:F5"/>
    <mergeCell ref="S4:S5"/>
    <mergeCell ref="T4:T5"/>
    <mergeCell ref="U4:U5"/>
    <mergeCell ref="V4:V5"/>
    <mergeCell ref="W4:W5"/>
    <mergeCell ref="X4:X5"/>
    <mergeCell ref="Y4:Y5"/>
    <mergeCell ref="Z4:Z5"/>
    <mergeCell ref="AA4:AA5"/>
    <mergeCell ref="AB4:AB5"/>
    <mergeCell ref="AC4:AC5"/>
  </mergeCells>
  <dataValidations count="4">
    <dataValidation type="list" allowBlank="1" showInputMessage="1" showErrorMessage="1" sqref="D94:D95">
      <formula1>"改建,扩建"</formula1>
    </dataValidation>
    <dataValidation type="list" allowBlank="1" showInputMessage="1" showErrorMessage="1" sqref="D282">
      <formula1>"是,否"</formula1>
    </dataValidation>
    <dataValidation allowBlank="1" showInputMessage="1" showErrorMessage="1" sqref="D3 D7 D240 D241 D1:D2 D4:D5 D9:D10 D11:D15 D21:D22 D63:D72 D91:D93 D100:D101 D103:D106 D122:D123 D125:D126 D130:D132 D134:D135 D137:D140 D148:D157 D165:D175 D190:D195 D197:D199 D204:D205 D207:D208 D219:D220 D228:D234 D242:D244 D246:D249 D259:D265"/>
    <dataValidation type="list" allowBlank="1" showInputMessage="1" showErrorMessage="1" sqref="F281 F273:F275">
      <formula1>"否,完成征地"</formula1>
    </dataValidation>
  </dataValidations>
  <pageMargins left="0.751388888888889" right="0.751388888888889" top="1" bottom="1" header="0.5" footer="0.5"/>
  <pageSetup paperSize="9" scale="53"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view="pageBreakPreview" zoomScaleNormal="100" zoomScaleSheetLayoutView="100" workbookViewId="0">
      <selection activeCell="E10" sqref="E10"/>
    </sheetView>
  </sheetViews>
  <sheetFormatPr defaultColWidth="9" defaultRowHeight="14.25"/>
  <cols>
    <col min="1" max="1" width="12.3333333333333" customWidth="true"/>
    <col min="2" max="9" width="8.775" customWidth="true"/>
    <col min="10" max="10" width="10.1083333333333" style="24" customWidth="true"/>
    <col min="11" max="11" width="7.10833333333333" style="25" customWidth="true"/>
  </cols>
  <sheetData>
    <row r="1" ht="20.25" spans="1:11">
      <c r="A1" s="26" t="s">
        <v>752</v>
      </c>
      <c r="B1" s="21"/>
      <c r="C1" s="21"/>
      <c r="D1" s="21"/>
      <c r="E1" s="21"/>
      <c r="F1" s="21"/>
      <c r="G1" s="21"/>
      <c r="H1" s="21"/>
      <c r="I1" s="21"/>
      <c r="J1" s="32"/>
      <c r="K1" s="33"/>
    </row>
    <row r="2" ht="35" customHeight="true" spans="1:11">
      <c r="A2" s="27" t="s">
        <v>753</v>
      </c>
      <c r="B2" s="27"/>
      <c r="C2" s="27"/>
      <c r="D2" s="27"/>
      <c r="E2" s="27"/>
      <c r="F2" s="27"/>
      <c r="G2" s="27"/>
      <c r="H2" s="27"/>
      <c r="I2" s="27"/>
      <c r="J2" s="34"/>
      <c r="K2" s="27"/>
    </row>
    <row r="3" s="21" customFormat="true" ht="19" customHeight="true" spans="1:11">
      <c r="A3" s="27"/>
      <c r="B3" s="27"/>
      <c r="C3" s="27"/>
      <c r="D3" s="27"/>
      <c r="E3" s="27"/>
      <c r="F3" s="27"/>
      <c r="G3" s="27"/>
      <c r="H3" s="27"/>
      <c r="I3" s="27"/>
      <c r="J3" s="34"/>
      <c r="K3" s="27"/>
    </row>
    <row r="4" s="22" customFormat="true" ht="39" customHeight="true" spans="1:11">
      <c r="A4" s="28" t="s">
        <v>2</v>
      </c>
      <c r="B4" s="29" t="s">
        <v>754</v>
      </c>
      <c r="C4" s="28"/>
      <c r="D4" s="28"/>
      <c r="E4" s="28"/>
      <c r="F4" s="28" t="s">
        <v>755</v>
      </c>
      <c r="G4" s="28"/>
      <c r="H4" s="28"/>
      <c r="I4" s="28"/>
      <c r="J4" s="35" t="s">
        <v>756</v>
      </c>
      <c r="K4" s="29" t="s">
        <v>757</v>
      </c>
    </row>
    <row r="5" s="23" customFormat="true" ht="39" customHeight="true" spans="1:11">
      <c r="A5" s="28"/>
      <c r="B5" s="28" t="s">
        <v>758</v>
      </c>
      <c r="C5" s="28" t="s">
        <v>759</v>
      </c>
      <c r="D5" s="28" t="s">
        <v>760</v>
      </c>
      <c r="E5" s="28" t="s">
        <v>761</v>
      </c>
      <c r="F5" s="28" t="s">
        <v>758</v>
      </c>
      <c r="G5" s="28" t="s">
        <v>759</v>
      </c>
      <c r="H5" s="28" t="s">
        <v>760</v>
      </c>
      <c r="I5" s="28" t="s">
        <v>761</v>
      </c>
      <c r="J5" s="35"/>
      <c r="K5" s="28"/>
    </row>
    <row r="6" ht="57" customHeight="true" spans="1:11">
      <c r="A6" s="30" t="s">
        <v>14</v>
      </c>
      <c r="B6" s="30">
        <f>VLOOKUP(A6,[2]Sheet1!$A:$N,14,FALSE)</f>
        <v>53.04</v>
      </c>
      <c r="C6" s="30">
        <f>VLOOKUP(A6,[2]Sheet2!$A:$O,14,FALSE)</f>
        <v>57.36</v>
      </c>
      <c r="D6" s="30">
        <f>VLOOKUP(A6,[2]Sheet3!$A:$O,14,FALSE)</f>
        <v>58.91</v>
      </c>
      <c r="E6" s="30">
        <f t="shared" ref="E6:E14" si="0">D6-B6</f>
        <v>5.87</v>
      </c>
      <c r="F6" s="30">
        <f>VLOOKUP(A6,[2]Sheet1!$A:$O,15,FALSE)</f>
        <v>85.59</v>
      </c>
      <c r="G6" s="30">
        <f>VLOOKUP(A6,[2]Sheet2!$A:$O,15,FALSE)</f>
        <v>90.53</v>
      </c>
      <c r="H6" s="30">
        <f>VLOOKUP(A6,[2]Sheet3!$A:$O,15,FALSE)</f>
        <v>94.48</v>
      </c>
      <c r="I6" s="30">
        <f t="shared" ref="I6:I14" si="1">H6-F6</f>
        <v>8.89</v>
      </c>
      <c r="J6" s="36">
        <f t="shared" ref="J6:J14" si="2">I6*0.2+E6*0.8</f>
        <v>6.474</v>
      </c>
      <c r="K6" s="37">
        <f t="shared" ref="K6:K14" si="3">RANK(J6,$J$6:$J$14,0)</f>
        <v>7</v>
      </c>
    </row>
    <row r="7" ht="57" customHeight="true" spans="1:11">
      <c r="A7" s="30" t="s">
        <v>15</v>
      </c>
      <c r="B7" s="30">
        <f>VLOOKUP(A7,[2]Sheet1!$A:$N,14,FALSE)</f>
        <v>58.95</v>
      </c>
      <c r="C7" s="30">
        <f>VLOOKUP(A7,[2]Sheet2!$A:$O,14,FALSE)</f>
        <v>62.5</v>
      </c>
      <c r="D7" s="30">
        <f>VLOOKUP(A7,[2]Sheet3!$A:$O,14,FALSE)</f>
        <v>62.49</v>
      </c>
      <c r="E7" s="30">
        <f t="shared" si="0"/>
        <v>3.54</v>
      </c>
      <c r="F7" s="30">
        <f>VLOOKUP(A7,[2]Sheet1!$A:$O,15,FALSE)</f>
        <v>81.61</v>
      </c>
      <c r="G7" s="30">
        <f>VLOOKUP(A7,[2]Sheet2!$A:$O,15,FALSE)</f>
        <v>92.04</v>
      </c>
      <c r="H7" s="30">
        <f>VLOOKUP(A7,[2]Sheet3!$A:$O,15,FALSE)</f>
        <v>91.82</v>
      </c>
      <c r="I7" s="30">
        <f t="shared" si="1"/>
        <v>10.21</v>
      </c>
      <c r="J7" s="36">
        <f t="shared" si="2"/>
        <v>4.874</v>
      </c>
      <c r="K7" s="37">
        <f t="shared" si="3"/>
        <v>9</v>
      </c>
    </row>
    <row r="8" ht="57" customHeight="true" spans="1:11">
      <c r="A8" s="30" t="s">
        <v>16</v>
      </c>
      <c r="B8" s="30">
        <f>VLOOKUP(A8,[2]Sheet1!$A:$N,14,FALSE)</f>
        <v>58.93</v>
      </c>
      <c r="C8" s="30">
        <f>VLOOKUP(A8,[2]Sheet2!$A:$O,14,FALSE)</f>
        <v>62.09</v>
      </c>
      <c r="D8" s="30">
        <f>VLOOKUP(A8,[2]Sheet3!$A:$O,14,FALSE)</f>
        <v>65.12</v>
      </c>
      <c r="E8" s="30">
        <f t="shared" si="0"/>
        <v>6.19</v>
      </c>
      <c r="F8" s="30">
        <f>VLOOKUP(A8,[2]Sheet1!$A:$O,15,FALSE)</f>
        <v>90.57</v>
      </c>
      <c r="G8" s="30">
        <f>VLOOKUP(A8,[2]Sheet2!$A:$O,15,FALSE)</f>
        <v>94.64</v>
      </c>
      <c r="H8" s="30">
        <f>VLOOKUP(A8,[2]Sheet3!$A:$O,15,FALSE)</f>
        <v>95.51</v>
      </c>
      <c r="I8" s="30">
        <f t="shared" si="1"/>
        <v>4.94000000000001</v>
      </c>
      <c r="J8" s="36">
        <f t="shared" si="2"/>
        <v>5.94000000000001</v>
      </c>
      <c r="K8" s="37">
        <f t="shared" si="3"/>
        <v>8</v>
      </c>
    </row>
    <row r="9" ht="57" customHeight="true" spans="1:11">
      <c r="A9" s="30" t="s">
        <v>17</v>
      </c>
      <c r="B9" s="30">
        <f>VLOOKUP(A9,[2]Sheet1!$A:$N,14,FALSE)</f>
        <v>45.68</v>
      </c>
      <c r="C9" s="30">
        <f>VLOOKUP(A9,[2]Sheet2!$A:$O,14,FALSE)</f>
        <v>51.63</v>
      </c>
      <c r="D9" s="30">
        <f>VLOOKUP(A9,[2]Sheet3!$A:$O,14,FALSE)</f>
        <v>55.59</v>
      </c>
      <c r="E9" s="30">
        <f t="shared" si="0"/>
        <v>9.91</v>
      </c>
      <c r="F9" s="30">
        <f>VLOOKUP(A9,[2]Sheet1!$A:$O,15,FALSE)</f>
        <v>77.96</v>
      </c>
      <c r="G9" s="30">
        <f>VLOOKUP(A9,[2]Sheet2!$A:$O,15,FALSE)</f>
        <v>89.91</v>
      </c>
      <c r="H9" s="30">
        <f>VLOOKUP(A9,[2]Sheet3!$A:$O,15,FALSE)</f>
        <v>89.82</v>
      </c>
      <c r="I9" s="30">
        <f t="shared" si="1"/>
        <v>11.86</v>
      </c>
      <c r="J9" s="36">
        <f t="shared" si="2"/>
        <v>10.3</v>
      </c>
      <c r="K9" s="37">
        <f t="shared" si="3"/>
        <v>4</v>
      </c>
    </row>
    <row r="10" ht="57" customHeight="true" spans="1:11">
      <c r="A10" s="30" t="s">
        <v>18</v>
      </c>
      <c r="B10" s="30">
        <f>VLOOKUP(A10,[2]Sheet1!$A:$N,14,FALSE)</f>
        <v>47.22</v>
      </c>
      <c r="C10" s="30">
        <f>VLOOKUP(A10,[2]Sheet2!$A:$O,14,FALSE)</f>
        <v>55.53</v>
      </c>
      <c r="D10" s="30">
        <f>VLOOKUP(A10,[2]Sheet3!$A:$O,14,FALSE)</f>
        <v>59.41</v>
      </c>
      <c r="E10" s="30">
        <f t="shared" si="0"/>
        <v>12.19</v>
      </c>
      <c r="F10" s="30">
        <f>VLOOKUP(A10,[2]Sheet1!$A:$O,15,FALSE)</f>
        <v>88.88</v>
      </c>
      <c r="G10" s="30">
        <f>VLOOKUP(A10,[2]Sheet2!$A:$O,15,FALSE)</f>
        <v>95.1</v>
      </c>
      <c r="H10" s="30">
        <f>VLOOKUP(A10,[2]Sheet3!$A:$O,15,FALSE)</f>
        <v>94.76</v>
      </c>
      <c r="I10" s="30">
        <f t="shared" si="1"/>
        <v>5.88000000000001</v>
      </c>
      <c r="J10" s="36">
        <f t="shared" si="2"/>
        <v>10.928</v>
      </c>
      <c r="K10" s="37">
        <f t="shared" si="3"/>
        <v>3</v>
      </c>
    </row>
    <row r="11" ht="57" customHeight="true" spans="1:11">
      <c r="A11" s="30" t="s">
        <v>19</v>
      </c>
      <c r="B11" s="30">
        <f>VLOOKUP(A11,[2]Sheet1!$A:$N,14,FALSE)</f>
        <v>46.5</v>
      </c>
      <c r="C11" s="30">
        <f>VLOOKUP(A11,[2]Sheet2!$A:$O,14,FALSE)</f>
        <v>53.79</v>
      </c>
      <c r="D11" s="30">
        <f>VLOOKUP(A11,[2]Sheet3!$A:$O,14,FALSE)</f>
        <v>59.88</v>
      </c>
      <c r="E11" s="30">
        <f t="shared" si="0"/>
        <v>13.38</v>
      </c>
      <c r="F11" s="30">
        <f>VLOOKUP(A11,[2]Sheet1!$A:$O,15,FALSE)</f>
        <v>88.89</v>
      </c>
      <c r="G11" s="30">
        <f>VLOOKUP(A11,[2]Sheet2!$A:$O,15,FALSE)</f>
        <v>93.56</v>
      </c>
      <c r="H11" s="30">
        <f>VLOOKUP(A11,[2]Sheet3!$A:$O,15,FALSE)</f>
        <v>95.71</v>
      </c>
      <c r="I11" s="30">
        <f t="shared" si="1"/>
        <v>6.81999999999999</v>
      </c>
      <c r="J11" s="36">
        <f t="shared" si="2"/>
        <v>12.068</v>
      </c>
      <c r="K11" s="37">
        <f t="shared" si="3"/>
        <v>1</v>
      </c>
    </row>
    <row r="12" ht="57" customHeight="true" spans="1:11">
      <c r="A12" s="30" t="s">
        <v>20</v>
      </c>
      <c r="B12" s="30">
        <f>VLOOKUP(A12,[2]Sheet1!$A:$N,14,FALSE)</f>
        <v>46.18</v>
      </c>
      <c r="C12" s="30">
        <f>VLOOKUP(A12,[2]Sheet2!$A:$O,14,FALSE)</f>
        <v>53.33</v>
      </c>
      <c r="D12" s="30">
        <f>VLOOKUP(A12,[2]Sheet3!$A:$O,14,FALSE)</f>
        <v>54.23</v>
      </c>
      <c r="E12" s="30">
        <f t="shared" si="0"/>
        <v>8.05</v>
      </c>
      <c r="F12" s="30">
        <f>VLOOKUP(A12,[2]Sheet1!$A:$O,15,FALSE)</f>
        <v>83.38</v>
      </c>
      <c r="G12" s="30">
        <f>VLOOKUP(A12,[2]Sheet2!$A:$O,15,FALSE)</f>
        <v>92.02</v>
      </c>
      <c r="H12" s="30">
        <f>VLOOKUP(A12,[2]Sheet3!$A:$O,15,FALSE)</f>
        <v>93.16</v>
      </c>
      <c r="I12" s="30">
        <f t="shared" si="1"/>
        <v>9.78</v>
      </c>
      <c r="J12" s="36">
        <f t="shared" si="2"/>
        <v>8.396</v>
      </c>
      <c r="K12" s="37">
        <f t="shared" si="3"/>
        <v>6</v>
      </c>
    </row>
    <row r="13" ht="57" customHeight="true" spans="1:11">
      <c r="A13" s="30" t="s">
        <v>21</v>
      </c>
      <c r="B13" s="30">
        <f>VLOOKUP(A13,[2]Sheet1!$A:$N,14,FALSE)</f>
        <v>41.14</v>
      </c>
      <c r="C13" s="30">
        <f>VLOOKUP(A13,[2]Sheet2!$A:$O,14,FALSE)</f>
        <v>50.34</v>
      </c>
      <c r="D13" s="30">
        <f>VLOOKUP(A13,[2]Sheet3!$A:$O,14,FALSE)</f>
        <v>51.02</v>
      </c>
      <c r="E13" s="30">
        <f t="shared" si="0"/>
        <v>9.88</v>
      </c>
      <c r="F13" s="30">
        <f>VLOOKUP(A13,[2]Sheet1!$A:$O,15,FALSE)</f>
        <v>74.25</v>
      </c>
      <c r="G13" s="30">
        <f>VLOOKUP(A13,[2]Sheet2!$A:$O,15,FALSE)</f>
        <v>91.27</v>
      </c>
      <c r="H13" s="30">
        <f>VLOOKUP(A13,[2]Sheet3!$A:$O,15,FALSE)</f>
        <v>91.7</v>
      </c>
      <c r="I13" s="30">
        <f t="shared" si="1"/>
        <v>17.45</v>
      </c>
      <c r="J13" s="36">
        <f t="shared" si="2"/>
        <v>11.394</v>
      </c>
      <c r="K13" s="37">
        <f t="shared" si="3"/>
        <v>2</v>
      </c>
    </row>
    <row r="14" ht="57" customHeight="true" spans="1:11">
      <c r="A14" s="31" t="s">
        <v>22</v>
      </c>
      <c r="B14" s="30">
        <f>VLOOKUP(A14,[2]Sheet1!$A:$N,14,FALSE)</f>
        <v>48.14</v>
      </c>
      <c r="C14" s="30">
        <f>VLOOKUP(A14,[2]Sheet2!$A:$O,14,FALSE)</f>
        <v>49.58</v>
      </c>
      <c r="D14" s="30">
        <f>VLOOKUP(A14,[2]Sheet3!$A:$O,14,FALSE)</f>
        <v>54.69</v>
      </c>
      <c r="E14" s="30">
        <f t="shared" si="0"/>
        <v>6.55</v>
      </c>
      <c r="F14" s="30">
        <f>VLOOKUP(A14,[2]Sheet1!$A:$O,15,FALSE)</f>
        <v>68.78</v>
      </c>
      <c r="G14" s="30">
        <f>VLOOKUP(A14,[2]Sheet2!$A:$O,15,FALSE)</f>
        <v>87.09</v>
      </c>
      <c r="H14" s="30">
        <f>VLOOKUP(A14,[2]Sheet3!$A:$O,15,FALSE)</f>
        <v>88.44</v>
      </c>
      <c r="I14" s="30">
        <f t="shared" si="1"/>
        <v>19.66</v>
      </c>
      <c r="J14" s="36">
        <f t="shared" si="2"/>
        <v>9.172</v>
      </c>
      <c r="K14" s="37">
        <f t="shared" si="3"/>
        <v>5</v>
      </c>
    </row>
  </sheetData>
  <mergeCells count="6">
    <mergeCell ref="A2:K2"/>
    <mergeCell ref="B4:E4"/>
    <mergeCell ref="F4:I4"/>
    <mergeCell ref="A4:A5"/>
    <mergeCell ref="J4:J5"/>
    <mergeCell ref="K4:K5"/>
  </mergeCells>
  <pageMargins left="0.75" right="0.75" top="1" bottom="1" header="0.5" footer="0.5"/>
  <pageSetup paperSize="9" scale="88"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26"/>
  <sheetViews>
    <sheetView tabSelected="1" view="pageBreakPreview" zoomScaleNormal="100" zoomScaleSheetLayoutView="100" workbookViewId="0">
      <selection activeCell="B9" sqref="B9:J9"/>
    </sheetView>
  </sheetViews>
  <sheetFormatPr defaultColWidth="9" defaultRowHeight="14.25"/>
  <cols>
    <col min="1" max="1" width="5.75" style="1" customWidth="true"/>
    <col min="2" max="2" width="10.75" style="1" customWidth="true"/>
    <col min="3" max="3" width="7.5" style="1" customWidth="true"/>
    <col min="4" max="4" width="5.125" style="1" customWidth="true"/>
    <col min="5" max="5" width="22.5" style="1" customWidth="true"/>
    <col min="6" max="6" width="8.875" style="1" customWidth="true"/>
    <col min="7" max="7" width="9.5" style="1" customWidth="true"/>
    <col min="8" max="8" width="2.75" style="1" customWidth="true"/>
    <col min="9" max="9" width="10" style="1" customWidth="true"/>
    <col min="10" max="10" width="9.125" style="1" customWidth="true"/>
    <col min="11" max="16384" width="9" style="1"/>
  </cols>
  <sheetData>
    <row r="1" s="1" customFormat="true" ht="20.25" customHeight="true" spans="1:10">
      <c r="A1" s="2" t="s">
        <v>762</v>
      </c>
      <c r="B1" s="2"/>
      <c r="C1" s="2"/>
      <c r="D1" s="2"/>
      <c r="E1" s="2"/>
      <c r="F1" s="2"/>
      <c r="G1" s="2"/>
      <c r="H1" s="2"/>
      <c r="I1" s="2"/>
      <c r="J1" s="2"/>
    </row>
    <row r="2" s="1" customFormat="true" ht="30" customHeight="true" spans="1:10">
      <c r="A2" s="3" t="s">
        <v>763</v>
      </c>
      <c r="B2" s="3"/>
      <c r="C2" s="3"/>
      <c r="D2" s="3"/>
      <c r="E2" s="3"/>
      <c r="F2" s="3"/>
      <c r="G2" s="3"/>
      <c r="H2" s="3"/>
      <c r="I2" s="3"/>
      <c r="J2" s="3"/>
    </row>
    <row r="3" s="1" customFormat="true" ht="20.25" customHeight="true" spans="1:10">
      <c r="A3" s="4" t="s">
        <v>764</v>
      </c>
      <c r="B3" s="4"/>
      <c r="C3" s="4"/>
      <c r="D3" s="4"/>
      <c r="E3" s="4"/>
      <c r="F3" s="4"/>
      <c r="G3" s="4"/>
      <c r="H3" s="4"/>
      <c r="I3" s="4"/>
      <c r="J3" s="4"/>
    </row>
    <row r="4" s="1" customFormat="true" ht="15.75" customHeight="true" spans="1:10">
      <c r="A4" s="5" t="s">
        <v>765</v>
      </c>
      <c r="B4" s="5"/>
      <c r="C4" s="5"/>
      <c r="D4" s="5" t="s">
        <v>766</v>
      </c>
      <c r="E4" s="5"/>
      <c r="F4" s="5"/>
      <c r="G4" s="5"/>
      <c r="H4" s="5"/>
      <c r="I4" s="5"/>
      <c r="J4" s="5"/>
    </row>
    <row r="5" s="1" customFormat="true" ht="38" customHeight="true" spans="1:10">
      <c r="A5" s="5" t="s">
        <v>767</v>
      </c>
      <c r="B5" s="5"/>
      <c r="C5" s="5"/>
      <c r="D5" s="5" t="s">
        <v>768</v>
      </c>
      <c r="E5" s="5"/>
      <c r="F5" s="5"/>
      <c r="G5" s="5"/>
      <c r="H5" s="5" t="s">
        <v>769</v>
      </c>
      <c r="I5" s="5"/>
      <c r="J5" s="5" t="s">
        <v>770</v>
      </c>
    </row>
    <row r="6" s="1" customFormat="true" ht="15.75" customHeight="true" spans="1:10">
      <c r="A6" s="5" t="s">
        <v>771</v>
      </c>
      <c r="B6" s="5"/>
      <c r="C6" s="5"/>
      <c r="D6" s="6" t="s">
        <v>772</v>
      </c>
      <c r="E6" s="6"/>
      <c r="F6" s="6"/>
      <c r="G6" s="5" t="s">
        <v>773</v>
      </c>
      <c r="H6" s="5"/>
      <c r="I6" s="5"/>
      <c r="J6" s="5"/>
    </row>
    <row r="7" s="1" customFormat="true" ht="15.75" customHeight="true" spans="1:10">
      <c r="A7" s="5"/>
      <c r="B7" s="5"/>
      <c r="C7" s="5"/>
      <c r="D7" s="6" t="s">
        <v>774</v>
      </c>
      <c r="E7" s="6"/>
      <c r="F7" s="6"/>
      <c r="G7" s="5" t="s">
        <v>773</v>
      </c>
      <c r="H7" s="5"/>
      <c r="I7" s="5"/>
      <c r="J7" s="5"/>
    </row>
    <row r="8" s="1" customFormat="true" ht="15.75" customHeight="true" spans="1:10">
      <c r="A8" s="5"/>
      <c r="B8" s="5"/>
      <c r="C8" s="5"/>
      <c r="D8" s="6" t="s">
        <v>775</v>
      </c>
      <c r="E8" s="6"/>
      <c r="F8" s="6"/>
      <c r="G8" s="5"/>
      <c r="H8" s="5"/>
      <c r="I8" s="5"/>
      <c r="J8" s="5"/>
    </row>
    <row r="9" s="1" customFormat="true" ht="48" customHeight="true" spans="1:10">
      <c r="A9" s="5" t="s">
        <v>776</v>
      </c>
      <c r="B9" s="5" t="s">
        <v>777</v>
      </c>
      <c r="C9" s="5"/>
      <c r="D9" s="5"/>
      <c r="E9" s="5"/>
      <c r="F9" s="5"/>
      <c r="G9" s="5"/>
      <c r="H9" s="5"/>
      <c r="I9" s="5"/>
      <c r="J9" s="5"/>
    </row>
    <row r="10" s="1" customFormat="true" ht="15.75" customHeight="true" spans="1:10">
      <c r="A10" s="7" t="s">
        <v>778</v>
      </c>
      <c r="B10" s="5" t="s">
        <v>779</v>
      </c>
      <c r="C10" s="5" t="s">
        <v>780</v>
      </c>
      <c r="D10" s="5"/>
      <c r="E10" s="5" t="s">
        <v>781</v>
      </c>
      <c r="F10" s="5" t="s">
        <v>782</v>
      </c>
      <c r="G10" s="5"/>
      <c r="H10" s="5"/>
      <c r="I10" s="5" t="s">
        <v>783</v>
      </c>
      <c r="J10" s="5"/>
    </row>
    <row r="11" s="1" customFormat="true" spans="1:10">
      <c r="A11" s="8"/>
      <c r="B11" s="5"/>
      <c r="C11" s="5"/>
      <c r="D11" s="5"/>
      <c r="E11" s="5"/>
      <c r="F11" s="5"/>
      <c r="G11" s="5"/>
      <c r="H11" s="5"/>
      <c r="I11" s="5"/>
      <c r="J11" s="5"/>
    </row>
    <row r="12" s="1" customFormat="true" spans="1:10">
      <c r="A12" s="8"/>
      <c r="B12" s="7" t="s">
        <v>784</v>
      </c>
      <c r="C12" s="9" t="s">
        <v>785</v>
      </c>
      <c r="D12" s="10"/>
      <c r="E12" s="7" t="s">
        <v>786</v>
      </c>
      <c r="F12" s="9" t="s">
        <v>787</v>
      </c>
      <c r="G12" s="16"/>
      <c r="H12" s="10"/>
      <c r="I12" s="17" t="s">
        <v>788</v>
      </c>
      <c r="J12" s="18"/>
    </row>
    <row r="13" s="1" customFormat="true" spans="1:10">
      <c r="A13" s="8"/>
      <c r="B13" s="8"/>
      <c r="C13" s="11"/>
      <c r="D13" s="12"/>
      <c r="E13" s="8"/>
      <c r="F13" s="11"/>
      <c r="G13" s="4"/>
      <c r="H13" s="12"/>
      <c r="I13" s="17" t="s">
        <v>789</v>
      </c>
      <c r="J13" s="18"/>
    </row>
    <row r="14" s="1" customFormat="true" spans="1:10">
      <c r="A14" s="8"/>
      <c r="B14" s="8"/>
      <c r="C14" s="11"/>
      <c r="D14" s="12"/>
      <c r="E14" s="8"/>
      <c r="F14" s="11"/>
      <c r="G14" s="4"/>
      <c r="H14" s="12"/>
      <c r="I14" s="17" t="s">
        <v>790</v>
      </c>
      <c r="J14" s="18"/>
    </row>
    <row r="15" s="1" customFormat="true" spans="1:10">
      <c r="A15" s="8"/>
      <c r="B15" s="8"/>
      <c r="C15" s="11"/>
      <c r="D15" s="12"/>
      <c r="E15" s="8"/>
      <c r="F15" s="11"/>
      <c r="G15" s="4"/>
      <c r="H15" s="12"/>
      <c r="I15" s="17" t="s">
        <v>791</v>
      </c>
      <c r="J15" s="18"/>
    </row>
    <row r="16" s="1" customFormat="true" spans="1:10">
      <c r="A16" s="8"/>
      <c r="B16" s="8"/>
      <c r="C16" s="11"/>
      <c r="D16" s="12"/>
      <c r="E16" s="8"/>
      <c r="F16" s="11"/>
      <c r="G16" s="4"/>
      <c r="H16" s="12"/>
      <c r="I16" s="17" t="s">
        <v>792</v>
      </c>
      <c r="J16" s="18"/>
    </row>
    <row r="17" s="1" customFormat="true" spans="1:10">
      <c r="A17" s="8"/>
      <c r="B17" s="8"/>
      <c r="C17" s="11"/>
      <c r="D17" s="12"/>
      <c r="E17" s="8"/>
      <c r="F17" s="11"/>
      <c r="G17" s="4"/>
      <c r="H17" s="12"/>
      <c r="I17" s="17" t="s">
        <v>793</v>
      </c>
      <c r="J17" s="18"/>
    </row>
    <row r="18" s="1" customFormat="true" spans="1:10">
      <c r="A18" s="8"/>
      <c r="B18" s="8"/>
      <c r="C18" s="11"/>
      <c r="D18" s="12"/>
      <c r="E18" s="8"/>
      <c r="F18" s="11"/>
      <c r="G18" s="4"/>
      <c r="H18" s="12"/>
      <c r="I18" s="17" t="s">
        <v>794</v>
      </c>
      <c r="J18" s="18"/>
    </row>
    <row r="19" s="1" customFormat="true" ht="20" customHeight="true" spans="1:10">
      <c r="A19" s="8"/>
      <c r="B19" s="8"/>
      <c r="C19" s="11"/>
      <c r="D19" s="12"/>
      <c r="E19" s="8"/>
      <c r="F19" s="11"/>
      <c r="G19" s="4"/>
      <c r="H19" s="12"/>
      <c r="I19" s="5" t="s">
        <v>795</v>
      </c>
      <c r="J19" s="5"/>
    </row>
    <row r="20" s="1" customFormat="true" ht="38" customHeight="true" spans="1:10">
      <c r="A20" s="8"/>
      <c r="B20" s="8"/>
      <c r="C20" s="11"/>
      <c r="D20" s="12"/>
      <c r="E20" s="8"/>
      <c r="F20" s="11"/>
      <c r="G20" s="4"/>
      <c r="H20" s="12"/>
      <c r="I20" s="5" t="s">
        <v>796</v>
      </c>
      <c r="J20" s="5"/>
    </row>
    <row r="21" s="1" customFormat="true" ht="30" customHeight="true" spans="1:10">
      <c r="A21" s="8"/>
      <c r="B21" s="8"/>
      <c r="C21" s="13" t="s">
        <v>797</v>
      </c>
      <c r="D21" s="13"/>
      <c r="E21" s="13" t="s">
        <v>798</v>
      </c>
      <c r="F21" s="13" t="s">
        <v>799</v>
      </c>
      <c r="G21" s="13"/>
      <c r="H21" s="13"/>
      <c r="I21" s="13" t="s">
        <v>800</v>
      </c>
      <c r="J21" s="13"/>
    </row>
    <row r="22" s="1" customFormat="true" ht="35" customHeight="true" spans="1:10">
      <c r="A22" s="8"/>
      <c r="B22" s="14"/>
      <c r="C22" s="13"/>
      <c r="D22" s="13"/>
      <c r="E22" s="13" t="s">
        <v>801</v>
      </c>
      <c r="F22" s="13" t="s">
        <v>801</v>
      </c>
      <c r="G22" s="13"/>
      <c r="H22" s="13"/>
      <c r="I22" s="19">
        <v>1</v>
      </c>
      <c r="J22" s="13"/>
    </row>
    <row r="23" s="1" customFormat="true" ht="39" customHeight="true" spans="1:10">
      <c r="A23" s="8"/>
      <c r="B23" s="7" t="s">
        <v>802</v>
      </c>
      <c r="C23" s="5" t="s">
        <v>803</v>
      </c>
      <c r="D23" s="5"/>
      <c r="E23" s="5" t="s">
        <v>804</v>
      </c>
      <c r="F23" s="5" t="s">
        <v>805</v>
      </c>
      <c r="G23" s="5"/>
      <c r="H23" s="5"/>
      <c r="I23" s="5" t="s">
        <v>806</v>
      </c>
      <c r="J23" s="5"/>
    </row>
    <row r="24" s="1" customFormat="true" ht="34" customHeight="true" spans="1:10">
      <c r="A24" s="8"/>
      <c r="B24" s="14"/>
      <c r="C24" s="5"/>
      <c r="D24" s="5"/>
      <c r="E24" s="5" t="s">
        <v>807</v>
      </c>
      <c r="F24" s="5" t="s">
        <v>808</v>
      </c>
      <c r="G24" s="5"/>
      <c r="H24" s="5"/>
      <c r="I24" s="20">
        <v>0.85</v>
      </c>
      <c r="J24" s="5"/>
    </row>
    <row r="25" s="1" customFormat="true" ht="43" customHeight="true" spans="1:10">
      <c r="A25" s="14"/>
      <c r="B25" s="5" t="s">
        <v>809</v>
      </c>
      <c r="C25" s="5" t="s">
        <v>810</v>
      </c>
      <c r="D25" s="5"/>
      <c r="E25" s="5" t="s">
        <v>811</v>
      </c>
      <c r="F25" s="5" t="s">
        <v>812</v>
      </c>
      <c r="G25" s="5"/>
      <c r="H25" s="5"/>
      <c r="I25" s="20">
        <v>0.9</v>
      </c>
      <c r="J25" s="5"/>
    </row>
    <row r="26" s="1" customFormat="true" ht="40" customHeight="true" spans="1:10">
      <c r="A26" s="15" t="s">
        <v>813</v>
      </c>
      <c r="B26" s="15"/>
      <c r="C26" s="15"/>
      <c r="D26" s="15"/>
      <c r="E26" s="15"/>
      <c r="F26" s="15"/>
      <c r="G26" s="15"/>
      <c r="H26" s="15"/>
      <c r="I26" s="15"/>
      <c r="J26" s="15"/>
    </row>
  </sheetData>
  <mergeCells count="50">
    <mergeCell ref="A1:J1"/>
    <mergeCell ref="A2:J2"/>
    <mergeCell ref="A3:J3"/>
    <mergeCell ref="A4:C4"/>
    <mergeCell ref="D4:J4"/>
    <mergeCell ref="A5:C5"/>
    <mergeCell ref="D5:G5"/>
    <mergeCell ref="H5:I5"/>
    <mergeCell ref="D6:F6"/>
    <mergeCell ref="G6:J6"/>
    <mergeCell ref="D7:F7"/>
    <mergeCell ref="G7:J7"/>
    <mergeCell ref="D8:F8"/>
    <mergeCell ref="G8:J8"/>
    <mergeCell ref="B9:J9"/>
    <mergeCell ref="I12:J12"/>
    <mergeCell ref="I13:J13"/>
    <mergeCell ref="I14:J14"/>
    <mergeCell ref="I15:J15"/>
    <mergeCell ref="I16:J16"/>
    <mergeCell ref="I17:J17"/>
    <mergeCell ref="I18:J18"/>
    <mergeCell ref="I19:J19"/>
    <mergeCell ref="I20:J20"/>
    <mergeCell ref="F21:H21"/>
    <mergeCell ref="I21:J21"/>
    <mergeCell ref="F22:H22"/>
    <mergeCell ref="I22:J22"/>
    <mergeCell ref="F23:H23"/>
    <mergeCell ref="I23:J23"/>
    <mergeCell ref="F24:H24"/>
    <mergeCell ref="I24:J24"/>
    <mergeCell ref="C25:D25"/>
    <mergeCell ref="F25:H25"/>
    <mergeCell ref="I25:J25"/>
    <mergeCell ref="A26:J26"/>
    <mergeCell ref="A10:A25"/>
    <mergeCell ref="B10:B11"/>
    <mergeCell ref="B12:B22"/>
    <mergeCell ref="B23:B24"/>
    <mergeCell ref="E10:E11"/>
    <mergeCell ref="E12:E20"/>
    <mergeCell ref="A6:C8"/>
    <mergeCell ref="C10:D11"/>
    <mergeCell ref="I10:J11"/>
    <mergeCell ref="F10:H11"/>
    <mergeCell ref="C12:D20"/>
    <mergeCell ref="F12:H20"/>
    <mergeCell ref="C21:D22"/>
    <mergeCell ref="C23:D24"/>
  </mergeCells>
  <pageMargins left="0.75" right="0.75" top="1" bottom="1" header="0.5" footer="0.5"/>
  <pageSetup paperSize="9" scale="95"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汇总简表</vt:lpstr>
      <vt:lpstr>资金测算表</vt:lpstr>
      <vt:lpstr>增幅</vt:lpstr>
      <vt:lpstr>附件2-设区市绩效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张雅婧</cp:lastModifiedBy>
  <dcterms:created xsi:type="dcterms:W3CDTF">2022-03-17T00:26:00Z</dcterms:created>
  <dcterms:modified xsi:type="dcterms:W3CDTF">2022-04-06T15:32:14Z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ies>
</file>